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1840" windowHeight="12840" activeTab="0"/>
  </bookViews>
  <sheets>
    <sheet name="Spielernamen_Einstellungen" sheetId="1" r:id="rId1"/>
    <sheet name="Vorrunde_12121212" sheetId="2" r:id="rId2"/>
    <sheet name="K.O._Runde_12121212" sheetId="3" r:id="rId3"/>
    <sheet name="Vorrunde_12312312" sheetId="4" r:id="rId4"/>
    <sheet name="K.O._Runde_12312312" sheetId="5" r:id="rId5"/>
    <sheet name="Vorrunde_12341234" sheetId="6" r:id="rId6"/>
    <sheet name="K.O._Runde_12341234" sheetId="7" r:id="rId7"/>
    <sheet name="Vorrunde_1212" sheetId="8" r:id="rId8"/>
    <sheet name="K.O._Runde_1212" sheetId="9" r:id="rId9"/>
    <sheet name="Vorrunde_1234" sheetId="10" r:id="rId10"/>
    <sheet name="K.O._Runde_1234" sheetId="11" r:id="rId11"/>
  </sheets>
  <definedNames>
    <definedName name="_xlfn.RANK.AVG" hidden="1">#NAME?</definedName>
    <definedName name="gueltige_Spieler">'Spielernamen_Einstellungen'!$N$43:$N$82</definedName>
  </definedNames>
  <calcPr fullCalcOnLoad="1"/>
</workbook>
</file>

<file path=xl/sharedStrings.xml><?xml version="1.0" encoding="utf-8"?>
<sst xmlns="http://schemas.openxmlformats.org/spreadsheetml/2006/main" count="824" uniqueCount="189">
  <si>
    <t>A</t>
  </si>
  <si>
    <t>#Name1UND2_Verkettet</t>
  </si>
  <si>
    <t>Name Teamspieler 1</t>
  </si>
  <si>
    <t>Name Teamspieler 2</t>
  </si>
  <si>
    <t>Gruppe A</t>
  </si>
  <si>
    <t>Gruppe B</t>
  </si>
  <si>
    <t>Punkte</t>
  </si>
  <si>
    <t>Ergebnis</t>
  </si>
  <si>
    <t>:</t>
  </si>
  <si>
    <t>Tore</t>
  </si>
  <si>
    <t>Auslbenden</t>
  </si>
  <si>
    <t>B</t>
  </si>
  <si>
    <t>C</t>
  </si>
  <si>
    <t>D</t>
  </si>
  <si>
    <t>Gruppen mit 8 Spielern --&gt; 4 Teams je Gruppe</t>
  </si>
  <si>
    <t>Rang</t>
  </si>
  <si>
    <t>Rang Pkte</t>
  </si>
  <si>
    <t>Rang Tore</t>
  </si>
  <si>
    <t>RangSummePkteTore</t>
  </si>
  <si>
    <t>RangFinal</t>
  </si>
  <si>
    <t>Ausblenden ein</t>
  </si>
  <si>
    <t>Ausblenden aus</t>
  </si>
  <si>
    <t>Tabelle sortiert</t>
  </si>
  <si>
    <t>Punkte für den sieg</t>
  </si>
  <si>
    <t>Platz</t>
  </si>
  <si>
    <t>Vorrundenpartieen</t>
  </si>
  <si>
    <t>Spiel Nr.</t>
  </si>
  <si>
    <t>Tabelle unsortiert hier namen holen von anderem blatt</t>
  </si>
  <si>
    <t>Ausblenden</t>
  </si>
  <si>
    <t>Berechnung spielergruppen</t>
  </si>
  <si>
    <t>Gruppe C</t>
  </si>
  <si>
    <t>Gruppe D</t>
  </si>
  <si>
    <t>1. Gruppe A &lt;&lt;&lt;vs.&gt;&gt;&gt; 2. Gruppe B</t>
  </si>
  <si>
    <t>2. Gruppe A &lt;&lt;&lt;vs.&gt;&gt;&gt; 1. Gruppe B</t>
  </si>
  <si>
    <t>1. Gruppe C &lt;&lt;&lt;vs.&gt;&gt;&gt; 2. Gruppe D</t>
  </si>
  <si>
    <t>2. Gruppe C &lt;&lt;&lt;vs.&gt;&gt;&gt; 1. Gruppe D</t>
  </si>
  <si>
    <t>Viertelfinale</t>
  </si>
  <si>
    <t>Halbfinale</t>
  </si>
  <si>
    <t>Spiel um Platz 3 und 4</t>
  </si>
  <si>
    <t>Finale</t>
  </si>
  <si>
    <t>Sieger</t>
  </si>
  <si>
    <t>Verlierer</t>
  </si>
  <si>
    <t>Sieger Viertelfinale Spiel 1 &lt;&lt;&lt;vs.&gt;&gt;&gt; Spiel 3</t>
  </si>
  <si>
    <t>Sieger Viertelfinale Spiel 2 &lt;&lt;&lt;vs.&gt;&gt;&gt; Spiel 4</t>
  </si>
  <si>
    <t>Verlierer Halbfinale Spiel 1  &lt;&lt;&lt;vs.&gt;&gt;&gt; Spiel 2</t>
  </si>
  <si>
    <t>Sieger Halbfinale Spiel 1  &lt;&lt;&lt;vs.&gt;&gt;&gt; Spiel 2</t>
  </si>
  <si>
    <t>Team</t>
  </si>
  <si>
    <t>Auslosung der Teams</t>
  </si>
  <si>
    <t>Gruppe</t>
  </si>
  <si>
    <t>Spieler</t>
  </si>
  <si>
    <t>Verketten</t>
  </si>
  <si>
    <t>ACHTUNG: Ungerade Anzahl von Spielern --&gt; keine Teambildung möglich</t>
  </si>
  <si>
    <t>Teilnehmende Spieler eingeben:</t>
  </si>
  <si>
    <t>Dateb für siegerehrung</t>
  </si>
  <si>
    <t>platz</t>
  </si>
  <si>
    <t>name</t>
  </si>
  <si>
    <t>Platz 2:</t>
  </si>
  <si>
    <t>Platz 3:</t>
  </si>
  <si>
    <t>Platz 4:</t>
  </si>
  <si>
    <t>Platzierungen für das heutige Kickertunier:</t>
  </si>
  <si>
    <t>Jürgen</t>
  </si>
  <si>
    <t>Daniela</t>
  </si>
  <si>
    <t>Tina</t>
  </si>
  <si>
    <t>Stephan</t>
  </si>
  <si>
    <t>Fabian</t>
  </si>
  <si>
    <t>Sven</t>
  </si>
  <si>
    <t>Nadine</t>
  </si>
  <si>
    <t>Klaus</t>
  </si>
  <si>
    <t>Mela</t>
  </si>
  <si>
    <t>Ewald</t>
  </si>
  <si>
    <t>Anika</t>
  </si>
  <si>
    <t>Axel</t>
  </si>
  <si>
    <t>Rouven</t>
  </si>
  <si>
    <t>Franz</t>
  </si>
  <si>
    <t>Lucas</t>
  </si>
  <si>
    <t>Nadja</t>
  </si>
  <si>
    <t>Michael</t>
  </si>
  <si>
    <t>Daniel</t>
  </si>
  <si>
    <t>Andy</t>
  </si>
  <si>
    <t>Flo</t>
  </si>
  <si>
    <t>1. Gruppe A &lt;&lt;&lt;vs.&gt;&gt;&gt; 4. Gruppe B</t>
  </si>
  <si>
    <t>2. Gruppe A &lt;&lt;&lt;vs.&gt;&gt;&gt; 3. Gruppe B</t>
  </si>
  <si>
    <t>tobias</t>
  </si>
  <si>
    <t>isabelle</t>
  </si>
  <si>
    <t>julia</t>
  </si>
  <si>
    <t>steffen</t>
  </si>
  <si>
    <t>annika</t>
  </si>
  <si>
    <t>jens</t>
  </si>
  <si>
    <t>sven</t>
  </si>
  <si>
    <t>andrea</t>
  </si>
  <si>
    <t>tanja</t>
  </si>
  <si>
    <t>alex</t>
  </si>
  <si>
    <t>martin</t>
  </si>
  <si>
    <t>alexander</t>
  </si>
  <si>
    <t>thorsten</t>
  </si>
  <si>
    <t>karoline</t>
  </si>
  <si>
    <t>bernd</t>
  </si>
  <si>
    <t>susanne</t>
  </si>
  <si>
    <t>christa</t>
  </si>
  <si>
    <t>michaelnoak</t>
  </si>
  <si>
    <t>kamen</t>
  </si>
  <si>
    <t>peter</t>
  </si>
  <si>
    <t>Punkterang wird normal gebildet</t>
  </si>
  <si>
    <t>Torerang wird durch 10 geteilt und mit punkterang addiert --&gt; absoluter rang wird dadurch richtig dargestellt</t>
  </si>
  <si>
    <t>Aktuell für die K.O. Runde qualifizierte Teams</t>
  </si>
  <si>
    <t>Namen</t>
  </si>
  <si>
    <t>Empfohlene Vorrunde</t>
  </si>
  <si>
    <t>4 Gruppen: Die besten zwei aus jeder Gruppe ziehen in die K.O. Runde ein</t>
  </si>
  <si>
    <t>1 Gruppe: Die besten vier ziehen in die K.O. Runde ein</t>
  </si>
  <si>
    <t>8-10 Spieler</t>
  </si>
  <si>
    <t>12-14 Spieler</t>
  </si>
  <si>
    <t>16-20 Spieler</t>
  </si>
  <si>
    <t>22-30 Spieler</t>
  </si>
  <si>
    <t>32-40 Spieler</t>
  </si>
  <si>
    <t>3 Gruppen: Die besten zwei und die zwei besten dritten jeder Gruppe ziehen in die K.O. Runde ein</t>
  </si>
  <si>
    <t>AUSBLENDEN EIN</t>
  </si>
  <si>
    <t>zwischentabelle besten drei</t>
  </si>
  <si>
    <t>diese ergebnis ist bsp 3,00016</t>
  </si>
  <si>
    <t>hier habe ich gerundet um eine abfrage nach der zahl machen zu können</t>
  </si>
  <si>
    <t>1. Gruppe B &lt;&lt;&lt;vs.&gt;&gt;&gt; 1. besten dritten</t>
  </si>
  <si>
    <t>1. Gruppe A &lt;&lt;&lt;vs.&gt;&gt;&gt; 2. besten dritten</t>
  </si>
  <si>
    <t>1. Gruppe C &lt;&lt;&lt;vs.&gt;&gt;&gt; 2. Gruppe A</t>
  </si>
  <si>
    <t>2. Gruppe B &lt;&lt;&lt;vs.&gt;&gt;&gt; 2. Gruppe C</t>
  </si>
  <si>
    <t>K.O. Runde 12312312</t>
  </si>
  <si>
    <t>K.O. Runde 12121212</t>
  </si>
  <si>
    <t>Vorrunde 12121212</t>
  </si>
  <si>
    <t>Vorrunde 12312312</t>
  </si>
  <si>
    <t>K.O. Runde 12341234</t>
  </si>
  <si>
    <t>Vorrunde 12341234</t>
  </si>
  <si>
    <t>Ausblenden EIN</t>
  </si>
  <si>
    <t>Ausblenden AUS</t>
  </si>
  <si>
    <t>Hier werden die Ränge gerundet falls platz 4 und 5 gleich sind --&gt; fehlermeldung</t>
  </si>
  <si>
    <t>Gruppe B Platz 4</t>
  </si>
  <si>
    <t>Gruppe B Platz 5</t>
  </si>
  <si>
    <t>Gruppe A Platz 4</t>
  </si>
  <si>
    <t>Gruppe A Platz 5</t>
  </si>
  <si>
    <t>1. Gruppe B &lt;&lt;&lt;vs.&gt;&gt;&gt; 4. Gruppe A</t>
  </si>
  <si>
    <t>2. Gruppe A &lt;&lt;&lt;vs.&gt;&gt;&gt; 3. Gruppe A</t>
  </si>
  <si>
    <t>2. Gruppe B &lt;&lt;&lt;vs.&gt;&gt;&gt; 3. Gruppe A</t>
  </si>
  <si>
    <t>Vorrunde 1212</t>
  </si>
  <si>
    <t>K.O. Runde 1212</t>
  </si>
  <si>
    <t>Vorrunde 1234</t>
  </si>
  <si>
    <t>K.O. Runde 1234</t>
  </si>
  <si>
    <t>Gruppe A Platz 2</t>
  </si>
  <si>
    <t>Gruppe A Platz 3</t>
  </si>
  <si>
    <t>Gruppe B Platz 2</t>
  </si>
  <si>
    <t>Gruppe B Platz 3</t>
  </si>
  <si>
    <t>Gruppe C Platz 2</t>
  </si>
  <si>
    <t>Gruppe C Platz 3</t>
  </si>
  <si>
    <t>Gruppe D Platz 2</t>
  </si>
  <si>
    <t>Gruppe D Platz 3</t>
  </si>
  <si>
    <t>1. Gruppe B &lt;&lt;&lt;vs.&gt;&gt;&gt; 2. Gruppe A</t>
  </si>
  <si>
    <t>Gewinner</t>
  </si>
  <si>
    <t>1. Gruppe A &lt;&lt;&lt;vs.&gt;&gt;&gt; 4. Gruppe A</t>
  </si>
  <si>
    <t xml:space="preserve">     zu spielen, da die Spielerzahl immer auf das System abgestimmt sind!</t>
  </si>
  <si>
    <t>Spielerzahl:</t>
  </si>
  <si>
    <t>Gruppenbildung:</t>
  </si>
  <si>
    <t>System:</t>
  </si>
  <si>
    <t>Für so wenig Spieler braucht ihr nun wirklich kein Tabellensystem!</t>
  </si>
  <si>
    <t>Reiterfarbe:</t>
  </si>
  <si>
    <t>Rot</t>
  </si>
  <si>
    <t>Orange</t>
  </si>
  <si>
    <t>Grün</t>
  </si>
  <si>
    <t>Blau</t>
  </si>
  <si>
    <t>Lila</t>
  </si>
  <si>
    <t xml:space="preserve">Nachfolgendes System ist geeignet für </t>
  </si>
  <si>
    <t>2 Gruppen: Die besten zwei aus jeder Gruppe ziehen in die K.O. Runde ein</t>
  </si>
  <si>
    <t>2 Gruppen: Die besten vier aus jeder Gruppe ziehen in die K.O. Runde ein</t>
  </si>
  <si>
    <t>1. Im Freitextfeld kann der Name des Tuniers sowie das Datum eingetragen werden.</t>
  </si>
  <si>
    <t>Infobox: Hier werden bei Bedarf Probleme dargestellt</t>
  </si>
  <si>
    <t>Punkte für den Sieg</t>
  </si>
  <si>
    <t>Siegpunkte:</t>
  </si>
  <si>
    <t>3. Punkte zum Sieg eingeben (Standard sind 3 Punkte)</t>
  </si>
  <si>
    <t>4. Es wird ein System zum Spielen vorgegeben. Es wird dringend geraten kein anderes System</t>
  </si>
  <si>
    <t>6. Die Reiterfarbe und deren Namen gibt an auf welchen zwei Mappen die Daten übernommen werden.</t>
  </si>
  <si>
    <t>8. Es wird dann automatisch bis zum Finale die Begegnungen und die Tabelle neu berechnet.</t>
  </si>
  <si>
    <t>Freitext: Willkommen zum Tischfussballtunier am xx.xx.xxxx</t>
  </si>
  <si>
    <t>Are u kidding me!!! Keine Spieler</t>
  </si>
  <si>
    <t>Testnamen zum einsetzen</t>
  </si>
  <si>
    <t>Anleitung bitte lesen!</t>
  </si>
  <si>
    <t>7. Im Reiter Vorrunde XXXX und K.O. Runde XXXX des jeweiligen Systems, werden hinter den Begegnungen die Ergebnisse</t>
  </si>
  <si>
    <t xml:space="preserve">     eingetragen. Paarungen mit einem FREI_X die bsp. "Jens - Tanja  &lt;&lt;&lt;vs.&gt;&gt;&gt;  Frei_5 - Frei_24" heissen,</t>
  </si>
  <si>
    <t xml:space="preserve">     werden einfach übersprungen!</t>
  </si>
  <si>
    <t>Keine Spieler!</t>
  </si>
  <si>
    <t>Zu wenig Spieler für ein System!</t>
  </si>
  <si>
    <t>2. Teilnehmende Spieler bei "Spielername eingeben" eingeben.</t>
  </si>
  <si>
    <t>5. Die Teams nach vorgegebenen System der/den Gruppe(n) zuordnen (bei Auslosung Teams)</t>
  </si>
  <si>
    <t xml:space="preserve">    (bei Frei_X KEINEN NAMEN EINGEBEN UND AUCH NICHT UMBENENNEN).</t>
  </si>
  <si>
    <t>Verfasser: Mc   Stand: 23.07.2010   Version: 2.12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</si>
</sst>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07]dddd\,\ d\.\ mmmm\ yyyy"/>
    <numFmt numFmtId="174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b/>
      <sz val="8"/>
      <name val="Calibri"/>
      <family val="2"/>
    </font>
    <font>
      <b/>
      <sz val="24"/>
      <color indexed="10"/>
      <name val="Calibri"/>
      <family val="2"/>
    </font>
    <font>
      <b/>
      <sz val="22"/>
      <color indexed="16"/>
      <name val="Calibri"/>
      <family val="2"/>
    </font>
    <font>
      <sz val="20"/>
      <color indexed="9"/>
      <name val="Calibri"/>
      <family val="2"/>
    </font>
    <font>
      <b/>
      <sz val="25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4"/>
      <color theme="4" tint="-0.24997000396251678"/>
      <name val="Calibri"/>
      <family val="2"/>
    </font>
    <font>
      <b/>
      <sz val="11"/>
      <color rgb="FFFF0000"/>
      <name val="Calibri"/>
      <family val="2"/>
    </font>
    <font>
      <sz val="11"/>
      <color rgb="FF92D050"/>
      <name val="Calibri"/>
      <family val="2"/>
    </font>
    <font>
      <b/>
      <sz val="18"/>
      <color rgb="FFFF0000"/>
      <name val="Calibri"/>
      <family val="2"/>
    </font>
    <font>
      <b/>
      <sz val="24"/>
      <color rgb="FFFF0000"/>
      <name val="Calibri"/>
      <family val="2"/>
    </font>
    <font>
      <b/>
      <sz val="22"/>
      <color theme="5" tint="-0.4999699890613556"/>
      <name val="Calibri"/>
      <family val="2"/>
    </font>
    <font>
      <sz val="20"/>
      <color theme="0"/>
      <name val="Calibri"/>
      <family val="2"/>
    </font>
    <font>
      <b/>
      <sz val="25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 quotePrefix="1">
      <alignment/>
    </xf>
    <xf numFmtId="0" fontId="39" fillId="35" borderId="12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0" fontId="52" fillId="36" borderId="0" xfId="0" applyFont="1" applyFill="1" applyAlignment="1">
      <alignment/>
    </xf>
    <xf numFmtId="0" fontId="39" fillId="35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quotePrefix="1">
      <alignment/>
    </xf>
    <xf numFmtId="0" fontId="53" fillId="0" borderId="0" xfId="0" applyFont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54" fillId="37" borderId="19" xfId="0" applyFont="1" applyFill="1" applyBorder="1" applyAlignment="1">
      <alignment/>
    </xf>
    <xf numFmtId="0" fontId="54" fillId="37" borderId="20" xfId="0" applyFont="1" applyFill="1" applyBorder="1" applyAlignment="1">
      <alignment/>
    </xf>
    <xf numFmtId="0" fontId="54" fillId="37" borderId="21" xfId="0" applyFont="1" applyFill="1" applyBorder="1" applyAlignment="1">
      <alignment/>
    </xf>
    <xf numFmtId="0" fontId="52" fillId="36" borderId="22" xfId="0" applyFont="1" applyFill="1" applyBorder="1" applyAlignment="1">
      <alignment/>
    </xf>
    <xf numFmtId="0" fontId="52" fillId="36" borderId="23" xfId="0" applyFont="1" applyFill="1" applyBorder="1" applyAlignment="1">
      <alignment/>
    </xf>
    <xf numFmtId="0" fontId="52" fillId="36" borderId="24" xfId="0" applyFont="1" applyFill="1" applyBorder="1" applyAlignment="1">
      <alignment/>
    </xf>
    <xf numFmtId="0" fontId="39" fillId="35" borderId="25" xfId="0" applyFont="1" applyFill="1" applyBorder="1" applyAlignment="1">
      <alignment horizontal="center"/>
    </xf>
    <xf numFmtId="0" fontId="39" fillId="35" borderId="26" xfId="0" applyFont="1" applyFill="1" applyBorder="1" applyAlignment="1">
      <alignment horizontal="center"/>
    </xf>
    <xf numFmtId="0" fontId="39" fillId="35" borderId="27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6" fontId="0" fillId="10" borderId="31" xfId="0" applyNumberFormat="1" applyFill="1" applyBorder="1" applyAlignment="1">
      <alignment horizontal="center"/>
    </xf>
    <xf numFmtId="16" fontId="0" fillId="10" borderId="29" xfId="0" applyNumberFormat="1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16" fontId="0" fillId="16" borderId="29" xfId="0" applyNumberFormat="1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16" fontId="0" fillId="38" borderId="29" xfId="0" applyNumberFormat="1" applyFill="1" applyBorder="1" applyAlignment="1">
      <alignment horizontal="center"/>
    </xf>
    <xf numFmtId="16" fontId="0" fillId="38" borderId="3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4" fillId="12" borderId="0" xfId="0" applyFont="1" applyFill="1" applyAlignment="1">
      <alignment/>
    </xf>
    <xf numFmtId="0" fontId="54" fillId="37" borderId="0" xfId="0" applyFont="1" applyFill="1" applyBorder="1" applyAlignment="1">
      <alignment horizontal="center"/>
    </xf>
    <xf numFmtId="0" fontId="54" fillId="37" borderId="17" xfId="0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52" fillId="0" borderId="0" xfId="0" applyFont="1" applyFill="1" applyBorder="1" applyAlignment="1">
      <alignment/>
    </xf>
    <xf numFmtId="0" fontId="52" fillId="37" borderId="22" xfId="0" applyFon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54" fillId="37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1" fontId="50" fillId="0" borderId="0" xfId="0" applyNumberFormat="1" applyFont="1" applyAlignment="1">
      <alignment/>
    </xf>
    <xf numFmtId="1" fontId="50" fillId="0" borderId="0" xfId="0" applyNumberFormat="1" applyFont="1" applyAlignment="1">
      <alignment horizontal="right"/>
    </xf>
    <xf numFmtId="1" fontId="56" fillId="0" borderId="0" xfId="0" applyNumberFormat="1" applyFont="1" applyAlignment="1">
      <alignment/>
    </xf>
    <xf numFmtId="1" fontId="5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54" fillId="37" borderId="0" xfId="0" applyNumberFormat="1" applyFont="1" applyFill="1" applyBorder="1" applyAlignment="1">
      <alignment/>
    </xf>
    <xf numFmtId="0" fontId="54" fillId="37" borderId="18" xfId="0" applyFont="1" applyFill="1" applyBorder="1" applyAlignment="1">
      <alignment horizontal="right"/>
    </xf>
    <xf numFmtId="0" fontId="54" fillId="37" borderId="0" xfId="0" applyFont="1" applyFill="1" applyBorder="1" applyAlignment="1">
      <alignment horizontal="left"/>
    </xf>
    <xf numFmtId="0" fontId="53" fillId="37" borderId="0" xfId="0" applyFont="1" applyFill="1" applyBorder="1" applyAlignment="1">
      <alignment horizontal="left"/>
    </xf>
    <xf numFmtId="0" fontId="27" fillId="37" borderId="18" xfId="0" applyFont="1" applyFill="1" applyBorder="1" applyAlignment="1">
      <alignment horizontal="left"/>
    </xf>
    <xf numFmtId="0" fontId="23" fillId="35" borderId="32" xfId="0" applyFont="1" applyFill="1" applyBorder="1" applyAlignment="1">
      <alignment horizontal="center"/>
    </xf>
    <xf numFmtId="0" fontId="23" fillId="35" borderId="33" xfId="0" applyFont="1" applyFill="1" applyBorder="1" applyAlignment="1">
      <alignment horizontal="center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16" fontId="0" fillId="10" borderId="31" xfId="0" applyNumberFormat="1" applyFill="1" applyBorder="1" applyAlignment="1" applyProtection="1">
      <alignment horizontal="center"/>
      <protection locked="0"/>
    </xf>
    <xf numFmtId="16" fontId="0" fillId="10" borderId="29" xfId="0" applyNumberFormat="1" applyFill="1" applyBorder="1" applyAlignment="1" applyProtection="1">
      <alignment horizontal="center"/>
      <protection locked="0"/>
    </xf>
    <xf numFmtId="0" fontId="0" fillId="10" borderId="30" xfId="0" applyFill="1" applyBorder="1" applyAlignment="1" applyProtection="1">
      <alignment horizontal="center"/>
      <protection locked="0"/>
    </xf>
    <xf numFmtId="16" fontId="0" fillId="16" borderId="29" xfId="0" applyNumberFormat="1" applyFill="1" applyBorder="1" applyAlignment="1" applyProtection="1">
      <alignment horizontal="center"/>
      <protection locked="0"/>
    </xf>
    <xf numFmtId="0" fontId="0" fillId="16" borderId="30" xfId="0" applyFill="1" applyBorder="1" applyAlignment="1" applyProtection="1">
      <alignment horizontal="center"/>
      <protection locked="0"/>
    </xf>
    <xf numFmtId="16" fontId="0" fillId="38" borderId="29" xfId="0" applyNumberFormat="1" applyFill="1" applyBorder="1" applyAlignment="1" applyProtection="1">
      <alignment horizontal="center"/>
      <protection locked="0"/>
    </xf>
    <xf numFmtId="16" fontId="0" fillId="38" borderId="30" xfId="0" applyNumberForma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hidden="1" locked="0"/>
    </xf>
    <xf numFmtId="0" fontId="54" fillId="37" borderId="18" xfId="0" applyFont="1" applyFill="1" applyBorder="1" applyAlignment="1">
      <alignment/>
    </xf>
    <xf numFmtId="0" fontId="54" fillId="37" borderId="17" xfId="0" applyFont="1" applyFill="1" applyBorder="1" applyAlignment="1">
      <alignment/>
    </xf>
    <xf numFmtId="0" fontId="0" fillId="4" borderId="29" xfId="0" applyFill="1" applyBorder="1" applyAlignment="1" applyProtection="1">
      <alignment horizontal="center"/>
      <protection hidden="1" locked="0"/>
    </xf>
    <xf numFmtId="16" fontId="0" fillId="10" borderId="31" xfId="0" applyNumberFormat="1" applyFill="1" applyBorder="1" applyAlignment="1" applyProtection="1">
      <alignment horizontal="center"/>
      <protection hidden="1" locked="0"/>
    </xf>
    <xf numFmtId="16" fontId="0" fillId="10" borderId="29" xfId="0" applyNumberFormat="1" applyFill="1" applyBorder="1" applyAlignment="1" applyProtection="1">
      <alignment horizontal="center"/>
      <protection hidden="1" locked="0"/>
    </xf>
    <xf numFmtId="0" fontId="0" fillId="10" borderId="30" xfId="0" applyFill="1" applyBorder="1" applyAlignment="1" applyProtection="1">
      <alignment horizontal="center"/>
      <protection hidden="1" locked="0"/>
    </xf>
    <xf numFmtId="16" fontId="0" fillId="16" borderId="29" xfId="0" applyNumberFormat="1" applyFill="1" applyBorder="1" applyAlignment="1" applyProtection="1">
      <alignment horizontal="center"/>
      <protection hidden="1" locked="0"/>
    </xf>
    <xf numFmtId="0" fontId="0" fillId="16" borderId="30" xfId="0" applyFill="1" applyBorder="1" applyAlignment="1" applyProtection="1">
      <alignment horizontal="center"/>
      <protection hidden="1" locked="0"/>
    </xf>
    <xf numFmtId="16" fontId="0" fillId="38" borderId="29" xfId="0" applyNumberFormat="1" applyFill="1" applyBorder="1" applyAlignment="1" applyProtection="1">
      <alignment horizontal="center"/>
      <protection hidden="1" locked="0"/>
    </xf>
    <xf numFmtId="16" fontId="0" fillId="38" borderId="30" xfId="0" applyNumberFormat="1" applyFill="1" applyBorder="1" applyAlignment="1" applyProtection="1">
      <alignment horizontal="center"/>
      <protection hidden="1" locked="0"/>
    </xf>
    <xf numFmtId="0" fontId="54" fillId="37" borderId="22" xfId="0" applyFont="1" applyFill="1" applyBorder="1" applyAlignment="1">
      <alignment/>
    </xf>
    <xf numFmtId="0" fontId="54" fillId="37" borderId="23" xfId="0" applyFont="1" applyFill="1" applyBorder="1" applyAlignment="1">
      <alignment/>
    </xf>
    <xf numFmtId="0" fontId="54" fillId="37" borderId="24" xfId="0" applyFont="1" applyFill="1" applyBorder="1" applyAlignment="1">
      <alignment/>
    </xf>
    <xf numFmtId="0" fontId="57" fillId="37" borderId="18" xfId="0" applyFont="1" applyFill="1" applyBorder="1" applyAlignment="1">
      <alignment/>
    </xf>
    <xf numFmtId="0" fontId="29" fillId="37" borderId="21" xfId="0" applyFont="1" applyFill="1" applyBorder="1" applyAlignment="1">
      <alignment horizontal="right"/>
    </xf>
    <xf numFmtId="0" fontId="54" fillId="37" borderId="34" xfId="0" applyFont="1" applyFill="1" applyBorder="1" applyAlignment="1">
      <alignment/>
    </xf>
    <xf numFmtId="0" fontId="54" fillId="37" borderId="35" xfId="0" applyFont="1" applyFill="1" applyBorder="1" applyAlignment="1">
      <alignment/>
    </xf>
    <xf numFmtId="0" fontId="54" fillId="37" borderId="36" xfId="0" applyFont="1" applyFill="1" applyBorder="1" applyAlignment="1">
      <alignment/>
    </xf>
    <xf numFmtId="0" fontId="58" fillId="37" borderId="34" xfId="0" applyFont="1" applyFill="1" applyBorder="1" applyAlignment="1">
      <alignment horizontal="center"/>
    </xf>
    <xf numFmtId="0" fontId="58" fillId="37" borderId="35" xfId="0" applyFont="1" applyFill="1" applyBorder="1" applyAlignment="1">
      <alignment horizontal="center"/>
    </xf>
    <xf numFmtId="0" fontId="58" fillId="37" borderId="36" xfId="0" applyFont="1" applyFill="1" applyBorder="1" applyAlignment="1">
      <alignment horizontal="center"/>
    </xf>
    <xf numFmtId="0" fontId="57" fillId="37" borderId="18" xfId="0" applyFont="1" applyFill="1" applyBorder="1" applyAlignment="1">
      <alignment horizontal="center"/>
    </xf>
    <xf numFmtId="0" fontId="55" fillId="37" borderId="0" xfId="0" applyFont="1" applyFill="1" applyBorder="1" applyAlignment="1">
      <alignment horizontal="center"/>
    </xf>
    <xf numFmtId="0" fontId="55" fillId="37" borderId="17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7" fillId="37" borderId="17" xfId="0" applyFont="1" applyFill="1" applyBorder="1" applyAlignment="1">
      <alignment horizontal="center"/>
    </xf>
    <xf numFmtId="0" fontId="52" fillId="37" borderId="18" xfId="0" applyFont="1" applyFill="1" applyBorder="1" applyAlignment="1" applyProtection="1">
      <alignment horizontal="center"/>
      <protection locked="0"/>
    </xf>
    <xf numFmtId="0" fontId="52" fillId="37" borderId="0" xfId="0" applyFont="1" applyFill="1" applyBorder="1" applyAlignment="1" applyProtection="1">
      <alignment horizontal="center"/>
      <protection locked="0"/>
    </xf>
    <xf numFmtId="0" fontId="52" fillId="37" borderId="17" xfId="0" applyFont="1" applyFill="1" applyBorder="1" applyAlignment="1" applyProtection="1">
      <alignment horizontal="center"/>
      <protection locked="0"/>
    </xf>
    <xf numFmtId="0" fontId="59" fillId="37" borderId="34" xfId="0" applyFont="1" applyFill="1" applyBorder="1" applyAlignment="1" applyProtection="1">
      <alignment horizontal="center"/>
      <protection locked="0"/>
    </xf>
    <xf numFmtId="0" fontId="59" fillId="37" borderId="35" xfId="0" applyFont="1" applyFill="1" applyBorder="1" applyAlignment="1" applyProtection="1">
      <alignment horizontal="center"/>
      <protection locked="0"/>
    </xf>
    <xf numFmtId="0" fontId="59" fillId="37" borderId="36" xfId="0" applyFont="1" applyFill="1" applyBorder="1" applyAlignment="1" applyProtection="1">
      <alignment horizontal="center"/>
      <protection locked="0"/>
    </xf>
    <xf numFmtId="0" fontId="52" fillId="37" borderId="18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0" fontId="52" fillId="37" borderId="23" xfId="0" applyFont="1" applyFill="1" applyBorder="1" applyAlignment="1">
      <alignment horizontal="center"/>
    </xf>
    <xf numFmtId="0" fontId="52" fillId="37" borderId="24" xfId="0" applyFont="1" applyFill="1" applyBorder="1" applyAlignment="1">
      <alignment horizontal="center"/>
    </xf>
    <xf numFmtId="0" fontId="50" fillId="0" borderId="34" xfId="0" applyFont="1" applyBorder="1" applyAlignment="1">
      <alignment horizontal="left"/>
    </xf>
    <xf numFmtId="0" fontId="50" fillId="0" borderId="36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60" fillId="39" borderId="0" xfId="0" applyFont="1" applyFill="1" applyAlignment="1">
      <alignment horizontal="center"/>
    </xf>
    <xf numFmtId="0" fontId="61" fillId="39" borderId="0" xfId="0" applyFont="1" applyFill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0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24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1"/>
  </sheetPr>
  <dimension ref="B1:Z97"/>
  <sheetViews>
    <sheetView showGridLines="0" tabSelected="1" zoomScale="106" zoomScaleNormal="106" zoomScalePageLayoutView="0" workbookViewId="0" topLeftCell="A1">
      <selection activeCell="C44" sqref="C44"/>
    </sheetView>
  </sheetViews>
  <sheetFormatPr defaultColWidth="11.421875" defaultRowHeight="15"/>
  <cols>
    <col min="2" max="2" width="20.57421875" style="0" customWidth="1"/>
    <col min="3" max="4" width="31.140625" style="0" bestFit="1" customWidth="1"/>
    <col min="5" max="5" width="72.00390625" style="0" customWidth="1"/>
    <col min="6" max="6" width="19.28125" style="0" customWidth="1"/>
    <col min="7" max="7" width="23.140625" style="0" hidden="1" customWidth="1"/>
    <col min="8" max="8" width="115.140625" style="0" hidden="1" customWidth="1"/>
    <col min="9" max="9" width="41.8515625" style="0" hidden="1" customWidth="1"/>
    <col min="10" max="10" width="17.8515625" style="0" hidden="1" customWidth="1"/>
    <col min="11" max="11" width="25.28125" style="0" hidden="1" customWidth="1"/>
    <col min="12" max="12" width="18.00390625" style="0" hidden="1" customWidth="1"/>
    <col min="13" max="14" width="11.421875" style="0" hidden="1" customWidth="1"/>
    <col min="15" max="15" width="89.8515625" style="0" hidden="1" customWidth="1"/>
    <col min="16" max="22" width="20.28125" style="0" hidden="1" customWidth="1"/>
    <col min="23" max="24" width="20.28125" style="0" bestFit="1" customWidth="1"/>
    <col min="25" max="25" width="20.28125" style="0" hidden="1" customWidth="1"/>
    <col min="26" max="26" width="19.8515625" style="0" hidden="1" customWidth="1"/>
    <col min="27" max="32" width="20.28125" style="0" hidden="1" customWidth="1"/>
    <col min="33" max="36" width="11.421875" style="0" hidden="1" customWidth="1"/>
    <col min="37" max="43" width="0" style="0" hidden="1" customWidth="1"/>
  </cols>
  <sheetData>
    <row r="1" spans="2:3" ht="15.75" thickBot="1">
      <c r="B1" s="2"/>
      <c r="C1" s="2"/>
    </row>
    <row r="2" spans="2:5" ht="42" customHeight="1">
      <c r="B2" s="102" t="s">
        <v>179</v>
      </c>
      <c r="C2" s="103"/>
      <c r="D2" s="103"/>
      <c r="E2" s="104"/>
    </row>
    <row r="3" spans="2:5" ht="23.25" customHeight="1">
      <c r="B3" s="97"/>
      <c r="C3" s="59"/>
      <c r="D3" s="59"/>
      <c r="E3" s="85"/>
    </row>
    <row r="4" spans="2:5" ht="19.5" thickBot="1">
      <c r="B4" s="31" t="s">
        <v>168</v>
      </c>
      <c r="C4" s="32"/>
      <c r="D4" s="32"/>
      <c r="E4" s="33"/>
    </row>
    <row r="5" spans="2:12" ht="19.5" thickBot="1">
      <c r="B5" s="94" t="s">
        <v>185</v>
      </c>
      <c r="C5" s="95"/>
      <c r="D5" s="95"/>
      <c r="E5" s="96"/>
      <c r="G5" t="s">
        <v>10</v>
      </c>
      <c r="H5" t="s">
        <v>28</v>
      </c>
      <c r="I5" t="s">
        <v>10</v>
      </c>
      <c r="J5" t="s">
        <v>10</v>
      </c>
      <c r="K5" t="s">
        <v>10</v>
      </c>
      <c r="L5" t="s">
        <v>10</v>
      </c>
    </row>
    <row r="6" spans="2:5" ht="19.5" thickBot="1">
      <c r="B6" s="31" t="s">
        <v>172</v>
      </c>
      <c r="C6" s="32"/>
      <c r="D6" s="32"/>
      <c r="E6" s="33"/>
    </row>
    <row r="7" spans="2:5" ht="18.75">
      <c r="B7" s="84" t="s">
        <v>173</v>
      </c>
      <c r="C7" s="59"/>
      <c r="D7" s="59"/>
      <c r="E7" s="85"/>
    </row>
    <row r="8" spans="2:5" ht="19.5" thickBot="1">
      <c r="B8" s="31" t="s">
        <v>154</v>
      </c>
      <c r="C8" s="32"/>
      <c r="D8" s="32"/>
      <c r="E8" s="33"/>
    </row>
    <row r="9" spans="2:5" ht="18.75">
      <c r="B9" s="99" t="s">
        <v>186</v>
      </c>
      <c r="C9" s="100"/>
      <c r="D9" s="100"/>
      <c r="E9" s="101"/>
    </row>
    <row r="10" spans="2:5" ht="19.5" thickBot="1">
      <c r="B10" s="31" t="s">
        <v>187</v>
      </c>
      <c r="C10" s="32"/>
      <c r="D10" s="32"/>
      <c r="E10" s="33"/>
    </row>
    <row r="11" spans="2:5" ht="19.5" thickBot="1">
      <c r="B11" s="31" t="s">
        <v>174</v>
      </c>
      <c r="C11" s="32"/>
      <c r="D11" s="32"/>
      <c r="E11" s="33"/>
    </row>
    <row r="12" spans="2:5" ht="18.75">
      <c r="B12" s="84" t="s">
        <v>180</v>
      </c>
      <c r="C12" s="59"/>
      <c r="D12" s="59"/>
      <c r="E12" s="85"/>
    </row>
    <row r="13" spans="2:5" ht="18.75">
      <c r="B13" s="84" t="s">
        <v>181</v>
      </c>
      <c r="C13" s="59"/>
      <c r="D13" s="59"/>
      <c r="E13" s="85"/>
    </row>
    <row r="14" spans="2:5" ht="19.5" thickBot="1">
      <c r="B14" s="31" t="s">
        <v>182</v>
      </c>
      <c r="C14" s="32"/>
      <c r="D14" s="32"/>
      <c r="E14" s="33"/>
    </row>
    <row r="15" spans="2:5" ht="18.75">
      <c r="B15" s="84" t="s">
        <v>175</v>
      </c>
      <c r="C15" s="59"/>
      <c r="D15" s="59"/>
      <c r="E15" s="85"/>
    </row>
    <row r="16" spans="2:5" ht="19.5" thickBot="1">
      <c r="B16" s="31"/>
      <c r="C16" s="32"/>
      <c r="D16" s="32"/>
      <c r="E16" s="33"/>
    </row>
    <row r="17" spans="7:10" ht="18.75">
      <c r="G17" s="67" t="s">
        <v>106</v>
      </c>
      <c r="H17" s="67"/>
      <c r="I17" s="67"/>
      <c r="J17" s="67"/>
    </row>
    <row r="18" spans="7:10" ht="19.5" thickBot="1">
      <c r="G18" s="67" t="s">
        <v>113</v>
      </c>
      <c r="H18" s="67" t="s">
        <v>107</v>
      </c>
      <c r="I18" s="67">
        <v>12121212</v>
      </c>
      <c r="J18" s="67" t="s">
        <v>160</v>
      </c>
    </row>
    <row r="19" spans="2:10" ht="28.5">
      <c r="B19" s="113" t="s">
        <v>176</v>
      </c>
      <c r="C19" s="114"/>
      <c r="D19" s="114"/>
      <c r="E19" s="115"/>
      <c r="G19" s="67" t="s">
        <v>112</v>
      </c>
      <c r="H19" s="67" t="s">
        <v>114</v>
      </c>
      <c r="I19" s="67">
        <v>12312312</v>
      </c>
      <c r="J19" s="67" t="s">
        <v>161</v>
      </c>
    </row>
    <row r="20" spans="2:10" ht="23.25">
      <c r="B20" s="105" t="s">
        <v>52</v>
      </c>
      <c r="C20" s="108"/>
      <c r="D20" s="108"/>
      <c r="E20" s="109"/>
      <c r="G20" s="67" t="s">
        <v>111</v>
      </c>
      <c r="H20" s="67" t="s">
        <v>167</v>
      </c>
      <c r="I20" s="67">
        <v>12341234</v>
      </c>
      <c r="J20" s="67" t="s">
        <v>162</v>
      </c>
    </row>
    <row r="21" spans="2:10" ht="23.25">
      <c r="B21" s="110">
        <v>0</v>
      </c>
      <c r="C21" s="111"/>
      <c r="D21" s="111"/>
      <c r="E21" s="112"/>
      <c r="G21" s="67" t="s">
        <v>110</v>
      </c>
      <c r="H21" s="67" t="s">
        <v>166</v>
      </c>
      <c r="I21" s="67">
        <v>1212</v>
      </c>
      <c r="J21" s="67" t="s">
        <v>163</v>
      </c>
    </row>
    <row r="22" spans="2:10" ht="23.25">
      <c r="B22" s="105" t="s">
        <v>170</v>
      </c>
      <c r="C22" s="108"/>
      <c r="D22" s="108"/>
      <c r="E22" s="109"/>
      <c r="G22" s="67" t="s">
        <v>109</v>
      </c>
      <c r="H22" s="67" t="s">
        <v>108</v>
      </c>
      <c r="I22" s="67">
        <v>1234</v>
      </c>
      <c r="J22" s="67" t="s">
        <v>164</v>
      </c>
    </row>
    <row r="23" spans="2:10" ht="18.75" customHeight="1">
      <c r="B23" s="110">
        <v>3</v>
      </c>
      <c r="C23" s="111"/>
      <c r="D23" s="111"/>
      <c r="E23" s="112"/>
      <c r="G23" s="67"/>
      <c r="H23" s="67"/>
      <c r="I23" s="67"/>
      <c r="J23" s="67"/>
    </row>
    <row r="24" spans="2:5" ht="19.5" thickBot="1">
      <c r="B24" s="31"/>
      <c r="C24" s="32"/>
      <c r="D24" s="32"/>
      <c r="E24" s="33"/>
    </row>
    <row r="25" spans="2:5" ht="15">
      <c r="B25" s="30"/>
      <c r="C25" s="29"/>
      <c r="D25" s="29"/>
      <c r="E25" s="28"/>
    </row>
    <row r="26" spans="2:5" ht="23.25">
      <c r="B26" s="105" t="s">
        <v>165</v>
      </c>
      <c r="C26" s="106"/>
      <c r="D26" s="106"/>
      <c r="E26" s="107"/>
    </row>
    <row r="27" spans="2:5" ht="23.25">
      <c r="B27" s="116" t="str">
        <f>VLOOKUP(C29,N43:Z83,5,FALSE)</f>
        <v>Keine Spieler!</v>
      </c>
      <c r="C27" s="117"/>
      <c r="D27" s="117"/>
      <c r="E27" s="118"/>
    </row>
    <row r="28" spans="2:5" ht="18.75">
      <c r="B28" s="71"/>
      <c r="C28" s="52"/>
      <c r="D28" s="52"/>
      <c r="E28" s="53"/>
    </row>
    <row r="29" spans="2:5" ht="18.75">
      <c r="B29" s="68" t="s">
        <v>155</v>
      </c>
      <c r="C29" s="70">
        <f>B21</f>
        <v>0</v>
      </c>
      <c r="D29" s="69"/>
      <c r="E29" s="53"/>
    </row>
    <row r="30" spans="2:5" ht="18.75">
      <c r="B30" s="68" t="s">
        <v>171</v>
      </c>
      <c r="C30" s="70">
        <f>B23</f>
        <v>3</v>
      </c>
      <c r="D30" s="69"/>
      <c r="E30" s="53"/>
    </row>
    <row r="31" spans="2:5" ht="18.75">
      <c r="B31" s="68" t="s">
        <v>156</v>
      </c>
      <c r="C31" s="70" t="str">
        <f>VLOOKUP(C29,N43:Z83,2,FALSE)</f>
        <v>Are u kidding me!!! Keine Spieler</v>
      </c>
      <c r="D31" s="52"/>
      <c r="E31" s="53"/>
    </row>
    <row r="32" spans="2:5" ht="18.75">
      <c r="B32" s="68" t="s">
        <v>157</v>
      </c>
      <c r="C32" s="70" t="str">
        <f>IF(B21=0,"Kein System möglich ohne Spieler!",IF(OR(B21=2,B21=4,B21=6),"Kein passendes System gefunden...",VLOOKUP(C29,N43:Z83,3,FALSE)))</f>
        <v>Kein System möglich ohne Spieler!</v>
      </c>
      <c r="D32" s="52"/>
      <c r="E32" s="53"/>
    </row>
    <row r="33" spans="2:5" ht="18.75">
      <c r="B33" s="68" t="s">
        <v>159</v>
      </c>
      <c r="C33" s="70" t="str">
        <f>IF(B21=0,"Kein System möglich ohne Spieler!",IF(OR(B21=2,B21=4,B21=6),"und daher auch keine Reiterfarbe",VLOOKUP(C29,N43:Z83,4,FALSE)))</f>
        <v>Kein System möglich ohne Spieler!</v>
      </c>
      <c r="D33" s="52"/>
      <c r="E33" s="53"/>
    </row>
    <row r="34" spans="2:8" ht="19.5" thickBot="1">
      <c r="B34" s="31"/>
      <c r="C34" s="32"/>
      <c r="D34" s="32"/>
      <c r="E34" s="98" t="s">
        <v>188</v>
      </c>
      <c r="H34" s="26"/>
    </row>
    <row r="39" ht="18.75">
      <c r="B39" s="27"/>
    </row>
    <row r="40" ht="15.75" thickBot="1"/>
    <row r="41" spans="2:5" ht="24" thickBot="1">
      <c r="B41" s="34" t="s">
        <v>47</v>
      </c>
      <c r="C41" s="35"/>
      <c r="D41" s="35"/>
      <c r="E41" s="36"/>
    </row>
    <row r="42" spans="8:26" ht="15.75" thickBot="1">
      <c r="H42" t="s">
        <v>29</v>
      </c>
      <c r="I42" t="s">
        <v>14</v>
      </c>
      <c r="N42" t="s">
        <v>49</v>
      </c>
      <c r="Z42" t="s">
        <v>50</v>
      </c>
    </row>
    <row r="43" spans="2:26" ht="15">
      <c r="B43" s="37" t="s">
        <v>46</v>
      </c>
      <c r="C43" s="38" t="s">
        <v>2</v>
      </c>
      <c r="D43" s="38" t="s">
        <v>3</v>
      </c>
      <c r="E43" s="39" t="s">
        <v>48</v>
      </c>
      <c r="G43" t="s">
        <v>1</v>
      </c>
      <c r="I43" t="s">
        <v>0</v>
      </c>
      <c r="J43" t="s">
        <v>11</v>
      </c>
      <c r="K43" t="s">
        <v>12</v>
      </c>
      <c r="L43" t="s">
        <v>13</v>
      </c>
      <c r="O43" t="s">
        <v>51</v>
      </c>
      <c r="Z43" t="str">
        <f>CONCATENATE(O43,P43,R43,S43,U43,V43,X43,Y43)</f>
        <v>ACHTUNG: Ungerade Anzahl von Spielern --&gt; keine Teambildung möglich</v>
      </c>
    </row>
    <row r="44" spans="2:26" ht="15">
      <c r="B44" s="40" t="str">
        <f>IF(OR($B$21=8,$B$21=10,$B$21=12,$B$21=14,$B$21=16,$B$21=18,$B$21=20,$B$21=22,$B$21=24,$B$21=26,$B$21=28,$B$21=30,$B$21=32,$B$21=34,$B$21=36,$B$21=38,$B$21=40),"1","Bitte frei lassen!")</f>
        <v>Bitte frei lassen!</v>
      </c>
      <c r="C44" s="86" t="str">
        <f>IF($B44="Bitte frei lassen!","Frei_1","Spieler_1")</f>
        <v>Frei_1</v>
      </c>
      <c r="D44" s="86" t="str">
        <f>IF($B44="Bitte frei lassen!","Frei_21","Spieler_21")</f>
        <v>Frei_21</v>
      </c>
      <c r="E44" s="41" t="s">
        <v>0</v>
      </c>
      <c r="G44" t="str">
        <f>CONCATENATE(C44," - ",D44)</f>
        <v>Frei_1 - Frei_21</v>
      </c>
      <c r="I44" t="str">
        <f>G44</f>
        <v>Frei_1 - Frei_21</v>
      </c>
      <c r="J44" t="str">
        <f>G49</f>
        <v>Frei_6 - Frei_26</v>
      </c>
      <c r="K44" t="str">
        <f>G54</f>
        <v>Frei_11 - Frei_31</v>
      </c>
      <c r="L44" t="str">
        <f>G59</f>
        <v>Frei_16 - Frei_36</v>
      </c>
      <c r="N44">
        <v>2</v>
      </c>
      <c r="O44" t="s">
        <v>158</v>
      </c>
      <c r="R44" t="s">
        <v>184</v>
      </c>
      <c r="Z44" t="str">
        <f aca="true" t="shared" si="0" ref="Z44:Z83">CONCATENATE(O44,P44,Q44,R44,S44,T44,U44,V44,W44,X44,Y44)</f>
        <v>Für so wenig Spieler braucht ihr nun wirklich kein Tabellensystem!Zu wenig Spieler für ein System!</v>
      </c>
    </row>
    <row r="45" spans="2:26" ht="15">
      <c r="B45" s="40" t="str">
        <f>IF(OR($B$21=8,$B$21=10,$B$21=12,$B$21=14,$B$21=16,$B$21=18,$B$21=20,$B$21=22,$B$21=24,$B$21=26,$B$21=28,$B$21=30,$B$21=32,$B$21=34,$B$21=36,$B$21=38,$B$21=40),2,"Bitte frei lassen!")</f>
        <v>Bitte frei lassen!</v>
      </c>
      <c r="C45" s="86" t="str">
        <f>IF($B45="Bitte frei lassen!","Frei_2","Spieler_2")</f>
        <v>Frei_2</v>
      </c>
      <c r="D45" s="86" t="str">
        <f>IF($B45="Bitte frei lassen!","Frei_22","Spieler_22")</f>
        <v>Frei_22</v>
      </c>
      <c r="E45" s="41" t="s">
        <v>0</v>
      </c>
      <c r="F45" s="1"/>
      <c r="G45" t="str">
        <f aca="true" t="shared" si="1" ref="G45:G63">CONCATENATE(C45," - ",D45)</f>
        <v>Frei_2 - Frei_22</v>
      </c>
      <c r="I45" t="str">
        <f>G45</f>
        <v>Frei_2 - Frei_22</v>
      </c>
      <c r="J45" t="str">
        <f>G50</f>
        <v>Frei_7 - Frei_27</v>
      </c>
      <c r="K45" t="str">
        <f>G55</f>
        <v>Frei_12 - Frei_32</v>
      </c>
      <c r="L45" t="str">
        <f>G60</f>
        <v>Frei_17 - Frei_37</v>
      </c>
      <c r="O45" t="s">
        <v>51</v>
      </c>
      <c r="Z45" t="str">
        <f t="shared" si="0"/>
        <v>ACHTUNG: Ungerade Anzahl von Spielern --&gt; keine Teambildung möglich</v>
      </c>
    </row>
    <row r="46" spans="2:26" ht="15">
      <c r="B46" s="40" t="str">
        <f>IF(OR($B$21=8,$B$21=10,$B$21=12,$B$21=14,$B$21=16,$B$21=18,$B$21=20,$B$21=22,$B$21=24,$B$21=26,$B$21=28,$B$21=30,$B$21=32,$B$21=34,$B$21=36,$B$21=38,$B$21=40),3,"Bitte frei lassen!")</f>
        <v>Bitte frei lassen!</v>
      </c>
      <c r="C46" s="86" t="str">
        <f>IF($B46="Bitte frei lassen!","Frei_3","Spieler_3")</f>
        <v>Frei_3</v>
      </c>
      <c r="D46" s="86" t="str">
        <f>IF($B46="Bitte frei lassen!","Frei_23","Spieler_23")</f>
        <v>Frei_23</v>
      </c>
      <c r="E46" s="41" t="s">
        <v>0</v>
      </c>
      <c r="F46" s="1"/>
      <c r="G46" t="str">
        <f t="shared" si="1"/>
        <v>Frei_3 - Frei_23</v>
      </c>
      <c r="I46" t="str">
        <f>G46</f>
        <v>Frei_3 - Frei_23</v>
      </c>
      <c r="J46" t="str">
        <f>G51</f>
        <v>Frei_8 - Frei_28</v>
      </c>
      <c r="K46" t="str">
        <f>G56</f>
        <v>Frei_13 - Frei_33</v>
      </c>
      <c r="L46" t="str">
        <f>G61</f>
        <v>Frei_18 - Frei_38</v>
      </c>
      <c r="N46">
        <v>4</v>
      </c>
      <c r="O46" t="s">
        <v>158</v>
      </c>
      <c r="R46" t="s">
        <v>184</v>
      </c>
      <c r="Z46" t="str">
        <f t="shared" si="0"/>
        <v>Für so wenig Spieler braucht ihr nun wirklich kein Tabellensystem!Zu wenig Spieler für ein System!</v>
      </c>
    </row>
    <row r="47" spans="2:26" ht="15">
      <c r="B47" s="40" t="str">
        <f>IF(OR($B$21=8,$B$21=10,$B$21=14,$B$21=16,$B$21=18,$B$21=20,$B$21=22,$B$21=24,$B$21=26,$B$21=28,$B$21=30,$B$21=32,$B$21=34,$B$21=36,$B$21=38,$B$21=40),4,"Bitte frei lassen!")</f>
        <v>Bitte frei lassen!</v>
      </c>
      <c r="C47" s="86" t="str">
        <f>IF($B47="Bitte frei lassen!","Frei_4","Spieler_4")</f>
        <v>Frei_4</v>
      </c>
      <c r="D47" s="86" t="str">
        <f>IF($B47="Bitte frei lassen!","Frei_24","Spieler_24")</f>
        <v>Frei_24</v>
      </c>
      <c r="E47" s="41" t="s">
        <v>0</v>
      </c>
      <c r="F47" s="1"/>
      <c r="G47" t="str">
        <f t="shared" si="1"/>
        <v>Frei_4 - Frei_24</v>
      </c>
      <c r="I47" t="str">
        <f>G47</f>
        <v>Frei_4 - Frei_24</v>
      </c>
      <c r="J47" t="str">
        <f>G52</f>
        <v>Frei_9 - Frei_29</v>
      </c>
      <c r="K47" t="str">
        <f>G57</f>
        <v>Frei_14 - Frei_34</v>
      </c>
      <c r="L47" t="str">
        <f>G62</f>
        <v>Frei_19 - Frei_39</v>
      </c>
      <c r="O47" t="s">
        <v>51</v>
      </c>
      <c r="Z47" t="str">
        <f t="shared" si="0"/>
        <v>ACHTUNG: Ungerade Anzahl von Spielern --&gt; keine Teambildung möglich</v>
      </c>
    </row>
    <row r="48" spans="2:26" ht="15.75" thickBot="1">
      <c r="B48" s="73" t="str">
        <f>IF(OR($B$21=10,$B$21=18,$B$21=20,$B$21=26,$B$21=28,$B$21=30,$B$21=34,$B$21=36,$B$21=38,$B$21=40),5,"Bitte frei lassen!")</f>
        <v>Bitte frei lassen!</v>
      </c>
      <c r="C48" s="83" t="str">
        <f>IF($B48="Bitte frei lassen!","Frei_5","Spieler_5")</f>
        <v>Frei_5</v>
      </c>
      <c r="D48" s="83" t="str">
        <f>IF($B48="Bitte frei lassen!","Frei_25","Spieler_25")</f>
        <v>Frei_25</v>
      </c>
      <c r="E48" s="42" t="s">
        <v>0</v>
      </c>
      <c r="F48" s="1"/>
      <c r="G48" t="str">
        <f t="shared" si="1"/>
        <v>Frei_5 - Frei_25</v>
      </c>
      <c r="I48" t="str">
        <f>G48</f>
        <v>Frei_5 - Frei_25</v>
      </c>
      <c r="J48" t="str">
        <f>G53</f>
        <v>Frei_10 - Frei_30</v>
      </c>
      <c r="K48" t="str">
        <f>G58</f>
        <v>Frei_15 - Frei_35</v>
      </c>
      <c r="L48" t="str">
        <f>G63</f>
        <v>Frei_20 - Frei_40</v>
      </c>
      <c r="N48">
        <v>6</v>
      </c>
      <c r="O48" t="s">
        <v>158</v>
      </c>
      <c r="R48" t="s">
        <v>184</v>
      </c>
      <c r="Z48" t="str">
        <f t="shared" si="0"/>
        <v>Für so wenig Spieler braucht ihr nun wirklich kein Tabellensystem!Zu wenig Spieler für ein System!</v>
      </c>
    </row>
    <row r="49" spans="2:26" ht="15">
      <c r="B49" s="72" t="str">
        <f>IF(OR($B$21=12,$B$21=14,$B$21=16,$B$21=18,$B$21=20,$B$21=22,$B$21=24,$B$21=26,$B$21=28,$B$21=30,$B$21=32,$B$21=34,$B$21=36,$B$21=38,$B$21=40),1,"Bitte frei lassen!")</f>
        <v>Bitte frei lassen!</v>
      </c>
      <c r="C49" s="87" t="str">
        <f>IF($B49="Bitte frei lassen!","Frei_6","Spieler_6")</f>
        <v>Frei_6</v>
      </c>
      <c r="D49" s="87" t="str">
        <f>IF($B49="Bitte frei lassen!","Frei_26","Spieler_26")</f>
        <v>Frei_26</v>
      </c>
      <c r="E49" s="43" t="s">
        <v>11</v>
      </c>
      <c r="F49" s="1"/>
      <c r="G49" t="str">
        <f t="shared" si="1"/>
        <v>Frei_6 - Frei_26</v>
      </c>
      <c r="O49" t="s">
        <v>51</v>
      </c>
      <c r="Z49" t="str">
        <f t="shared" si="0"/>
        <v>ACHTUNG: Ungerade Anzahl von Spielern --&gt; keine Teambildung möglich</v>
      </c>
    </row>
    <row r="50" spans="2:26" ht="15">
      <c r="B50" s="40" t="str">
        <f>IF(OR($B$21=12,$B$21=14,$B$21=16,$B$21=18,$B$21=20,$B$21=22,$B$21=24,$B$21=26,$B$21=28,$B$21=30,$B$21=32,$B$21=34,$B$21=36,$B$21=38,$B$21=40),2,"Bitte frei lassen!")</f>
        <v>Bitte frei lassen!</v>
      </c>
      <c r="C50" s="88" t="str">
        <f>IF($B50="Bitte frei lassen!","Frei_7","Spieler_7")</f>
        <v>Frei_7</v>
      </c>
      <c r="D50" s="88" t="str">
        <f>IF($B50="Bitte frei lassen!","Frei_27","Spieler_27")</f>
        <v>Frei_27</v>
      </c>
      <c r="E50" s="44" t="s">
        <v>11</v>
      </c>
      <c r="F50" s="1"/>
      <c r="G50" t="str">
        <f t="shared" si="1"/>
        <v>Frei_7 - Frei_27</v>
      </c>
      <c r="N50">
        <v>8</v>
      </c>
      <c r="O50" s="60" t="str">
        <f>H22</f>
        <v>1 Gruppe: Die besten vier ziehen in die K.O. Runde ein</v>
      </c>
      <c r="P50">
        <v>1234</v>
      </c>
      <c r="Q50" t="s">
        <v>164</v>
      </c>
      <c r="R50" t="s">
        <v>109</v>
      </c>
      <c r="T50" s="26"/>
      <c r="W50" s="26"/>
      <c r="Z50" t="str">
        <f t="shared" si="0"/>
        <v>1 Gruppe: Die besten vier ziehen in die K.O. Runde ein1234Lila8-10 Spieler</v>
      </c>
    </row>
    <row r="51" spans="2:26" ht="15">
      <c r="B51" s="40" t="str">
        <f>IF(OR($B$21=12,$B$21=14,$B$21=16,$B$21=18,$B$21=20,$B$21=22,$B$21=24,$B$21=26,$B$21=28,$B$21=30,$B$21=32,$B$21=34,$B$21=36,$B$21=38,$B$21=40),3,"Bitte frei lassen!")</f>
        <v>Bitte frei lassen!</v>
      </c>
      <c r="C51" s="88" t="str">
        <f>IF($B51="Bitte frei lassen!","Frei_8","Spieler_8")</f>
        <v>Frei_8</v>
      </c>
      <c r="D51" s="88" t="str">
        <f>IF($B51="Bitte frei lassen!","Frei_28","Spieler_28")</f>
        <v>Frei_28</v>
      </c>
      <c r="E51" s="44" t="s">
        <v>11</v>
      </c>
      <c r="F51" s="1"/>
      <c r="G51" t="str">
        <f t="shared" si="1"/>
        <v>Frei_8 - Frei_28</v>
      </c>
      <c r="O51" t="s">
        <v>51</v>
      </c>
      <c r="Z51" t="str">
        <f t="shared" si="0"/>
        <v>ACHTUNG: Ungerade Anzahl von Spielern --&gt; keine Teambildung möglich</v>
      </c>
    </row>
    <row r="52" spans="2:26" ht="15">
      <c r="B52" s="40" t="str">
        <f>IF(OR($B$21=16,$B$21=18,$B$21=20,$B$21=22,$B$21=24,$B$21=26,$B$21=28,$B$21=30,$B$21=32,$B$21=34,$B$21=36,$B$21=38,$B$21=40),4,"Bitte frei lassen!")</f>
        <v>Bitte frei lassen!</v>
      </c>
      <c r="C52" s="88" t="str">
        <f>IF($B52="Bitte frei lassen!","Frei_9","Spieler_9")</f>
        <v>Frei_9</v>
      </c>
      <c r="D52" s="88" t="str">
        <f>IF($B52="Bitte frei lassen!","Frei_29","Spieler_29")</f>
        <v>Frei_29</v>
      </c>
      <c r="E52" s="44" t="s">
        <v>11</v>
      </c>
      <c r="F52" s="1"/>
      <c r="G52" t="str">
        <f t="shared" si="1"/>
        <v>Frei_9 - Frei_29</v>
      </c>
      <c r="N52">
        <v>10</v>
      </c>
      <c r="O52" s="60" t="str">
        <f>H22</f>
        <v>1 Gruppe: Die besten vier ziehen in die K.O. Runde ein</v>
      </c>
      <c r="P52">
        <v>1234</v>
      </c>
      <c r="Q52" t="s">
        <v>164</v>
      </c>
      <c r="R52" t="s">
        <v>109</v>
      </c>
      <c r="T52" s="26"/>
      <c r="W52" s="26"/>
      <c r="Z52" t="str">
        <f t="shared" si="0"/>
        <v>1 Gruppe: Die besten vier ziehen in die K.O. Runde ein1234Lila8-10 Spieler</v>
      </c>
    </row>
    <row r="53" spans="2:26" ht="15.75" thickBot="1">
      <c r="B53" s="73" t="str">
        <f>IF(OR($B$21=20,$B$21=28,$B$21=30,$B$21=36,$B$21=38,$B$21=40),5,"Bitte frei lassen!")</f>
        <v>Bitte frei lassen!</v>
      </c>
      <c r="C53" s="89" t="str">
        <f>IF($B53="Bitte frei lassen!","Frei_10","Spieler_10")</f>
        <v>Frei_10</v>
      </c>
      <c r="D53" s="89" t="str">
        <f>IF($B53="Bitte frei lassen!","Frei_30","Spieler_30")</f>
        <v>Frei_30</v>
      </c>
      <c r="E53" s="45" t="s">
        <v>11</v>
      </c>
      <c r="F53" s="1"/>
      <c r="G53" t="str">
        <f t="shared" si="1"/>
        <v>Frei_10 - Frei_30</v>
      </c>
      <c r="O53" t="s">
        <v>51</v>
      </c>
      <c r="Z53" t="str">
        <f t="shared" si="0"/>
        <v>ACHTUNG: Ungerade Anzahl von Spielern --&gt; keine Teambildung möglich</v>
      </c>
    </row>
    <row r="54" spans="2:26" ht="15">
      <c r="B54" s="72" t="str">
        <f>IF(OR($B$21=22,$B$21=24,$B$21=26,$B$21=28,$B$21=30,$B$21=32,$B$21=34,$B$21=36,$B$21=38,$B$21=40),1,"Bitte frei lassen!")</f>
        <v>Bitte frei lassen!</v>
      </c>
      <c r="C54" s="90" t="str">
        <f>IF($B54="Bitte frei lassen!","Frei_11","Spieler_11")</f>
        <v>Frei_11</v>
      </c>
      <c r="D54" s="90" t="str">
        <f>IF($B54="Bitte frei lassen!","Frei_31","Spieler_31")</f>
        <v>Frei_31</v>
      </c>
      <c r="E54" s="46" t="s">
        <v>12</v>
      </c>
      <c r="F54" s="1"/>
      <c r="G54" t="str">
        <f t="shared" si="1"/>
        <v>Frei_11 - Frei_31</v>
      </c>
      <c r="N54">
        <v>12</v>
      </c>
      <c r="O54" s="60" t="str">
        <f>H21</f>
        <v>2 Gruppen: Die besten zwei aus jeder Gruppe ziehen in die K.O. Runde ein</v>
      </c>
      <c r="P54">
        <v>1212</v>
      </c>
      <c r="Q54" t="s">
        <v>163</v>
      </c>
      <c r="R54" t="s">
        <v>110</v>
      </c>
      <c r="T54" s="26"/>
      <c r="W54" s="26"/>
      <c r="Z54" t="str">
        <f t="shared" si="0"/>
        <v>2 Gruppen: Die besten zwei aus jeder Gruppe ziehen in die K.O. Runde ein1212Blau12-14 Spieler</v>
      </c>
    </row>
    <row r="55" spans="2:26" ht="15">
      <c r="B55" s="40" t="str">
        <f>IF(OR($B$21=22,$B$21=24,$B$21=26,$B$21=28,$B$21=30,$B$21=32,$B$21=34,$B$21=36,$B$21=38,$B$21=40),2,"Bitte frei lassen!")</f>
        <v>Bitte frei lassen!</v>
      </c>
      <c r="C55" s="90" t="str">
        <f>IF($B55="Bitte frei lassen!","Frei_12","Spieler_12")</f>
        <v>Frei_12</v>
      </c>
      <c r="D55" s="90" t="str">
        <f>IF($B55="Bitte frei lassen!","Frei_32","Spieler_32")</f>
        <v>Frei_32</v>
      </c>
      <c r="E55" s="46" t="s">
        <v>12</v>
      </c>
      <c r="F55" s="1"/>
      <c r="G55" t="str">
        <f t="shared" si="1"/>
        <v>Frei_12 - Frei_32</v>
      </c>
      <c r="O55" t="s">
        <v>51</v>
      </c>
      <c r="Z55" t="str">
        <f t="shared" si="0"/>
        <v>ACHTUNG: Ungerade Anzahl von Spielern --&gt; keine Teambildung möglich</v>
      </c>
    </row>
    <row r="56" spans="2:26" ht="15">
      <c r="B56" s="40" t="str">
        <f>IF(OR($B$21=22,$B$21=24,$B$21=26,$B$21=28,$B$21=30,$B$21=32,$B$21=34,$B$21=36,$B$21=38,$B$21=40),3,"Bitte frei lassen!")</f>
        <v>Bitte frei lassen!</v>
      </c>
      <c r="C56" s="90" t="str">
        <f>IF($B56="Bitte frei lassen!","Frei_13","Spieler_13")</f>
        <v>Frei_13</v>
      </c>
      <c r="D56" s="90" t="str">
        <f>IF($B56="Bitte frei lassen!","Frei_33","Spieler_33")</f>
        <v>Frei_33</v>
      </c>
      <c r="E56" s="46" t="s">
        <v>12</v>
      </c>
      <c r="F56" s="1"/>
      <c r="G56" t="str">
        <f t="shared" si="1"/>
        <v>Frei_13 - Frei_33</v>
      </c>
      <c r="N56">
        <v>14</v>
      </c>
      <c r="O56" s="60" t="str">
        <f>H21</f>
        <v>2 Gruppen: Die besten zwei aus jeder Gruppe ziehen in die K.O. Runde ein</v>
      </c>
      <c r="P56">
        <v>1212</v>
      </c>
      <c r="Q56" t="s">
        <v>163</v>
      </c>
      <c r="R56" t="s">
        <v>110</v>
      </c>
      <c r="T56" s="26"/>
      <c r="W56" s="26"/>
      <c r="Z56" t="str">
        <f t="shared" si="0"/>
        <v>2 Gruppen: Die besten zwei aus jeder Gruppe ziehen in die K.O. Runde ein1212Blau12-14 Spieler</v>
      </c>
    </row>
    <row r="57" spans="2:26" ht="15">
      <c r="B57" s="40" t="str">
        <f>IF(OR($B$21=24,$B$21=26,$B$21=28,$B$21=30,$B$21=32,$B$21=34,$B$21=36,$B$21=38,$B$21=40),4,"Bitte frei lassen!")</f>
        <v>Bitte frei lassen!</v>
      </c>
      <c r="C57" s="90" t="str">
        <f>IF($B57="Bitte frei lassen!","Frei_14","Spieler_14")</f>
        <v>Frei_14</v>
      </c>
      <c r="D57" s="90" t="str">
        <f>IF($B57="Bitte frei lassen!","Frei_34","Spieler_34")</f>
        <v>Frei_34</v>
      </c>
      <c r="E57" s="46" t="s">
        <v>12</v>
      </c>
      <c r="F57" s="1"/>
      <c r="G57" t="str">
        <f t="shared" si="1"/>
        <v>Frei_14 - Frei_34</v>
      </c>
      <c r="O57" t="s">
        <v>51</v>
      </c>
      <c r="Z57" t="str">
        <f t="shared" si="0"/>
        <v>ACHTUNG: Ungerade Anzahl von Spielern --&gt; keine Teambildung möglich</v>
      </c>
    </row>
    <row r="58" spans="2:26" ht="15.75" thickBot="1">
      <c r="B58" s="73" t="str">
        <f>IF(OR($B$21=30,$B$21=38,$B$21=40),5,"Bitte frei lassen!")</f>
        <v>Bitte frei lassen!</v>
      </c>
      <c r="C58" s="91" t="str">
        <f>IF($B58="Bitte frei lassen!","Frei_15","Spieler_15")</f>
        <v>Frei_15</v>
      </c>
      <c r="D58" s="91" t="str">
        <f>IF($B58="Bitte frei lassen!","Frei_35","Spieler_35")</f>
        <v>Frei_35</v>
      </c>
      <c r="E58" s="47" t="s">
        <v>12</v>
      </c>
      <c r="F58" s="1"/>
      <c r="G58" t="str">
        <f t="shared" si="1"/>
        <v>Frei_15 - Frei_35</v>
      </c>
      <c r="N58">
        <v>16</v>
      </c>
      <c r="O58" s="60" t="str">
        <f>H20</f>
        <v>2 Gruppen: Die besten vier aus jeder Gruppe ziehen in die K.O. Runde ein</v>
      </c>
      <c r="P58">
        <v>12341234</v>
      </c>
      <c r="Q58" t="s">
        <v>162</v>
      </c>
      <c r="R58" t="s">
        <v>111</v>
      </c>
      <c r="T58" s="26"/>
      <c r="W58" s="26"/>
      <c r="Z58" t="str">
        <f t="shared" si="0"/>
        <v>2 Gruppen: Die besten vier aus jeder Gruppe ziehen in die K.O. Runde ein12341234Grün16-20 Spieler</v>
      </c>
    </row>
    <row r="59" spans="2:26" ht="15">
      <c r="B59" s="72" t="str">
        <f>IF(OR($B$21=32,$B$21=34,$B$21=36,$B$21=38,$B$21=40),1,"Bitte frei lassen!")</f>
        <v>Bitte frei lassen!</v>
      </c>
      <c r="C59" s="92" t="str">
        <f>IF($B59="Bitte frei lassen!","Frei_16","Spieler_16")</f>
        <v>Frei_16</v>
      </c>
      <c r="D59" s="92" t="str">
        <f>IF($B59="Bitte frei lassen!","Frei_36","Spieler_36")</f>
        <v>Frei_36</v>
      </c>
      <c r="E59" s="48" t="s">
        <v>13</v>
      </c>
      <c r="F59" s="1"/>
      <c r="G59" t="str">
        <f t="shared" si="1"/>
        <v>Frei_16 - Frei_36</v>
      </c>
      <c r="O59" t="s">
        <v>51</v>
      </c>
      <c r="Z59" t="str">
        <f t="shared" si="0"/>
        <v>ACHTUNG: Ungerade Anzahl von Spielern --&gt; keine Teambildung möglich</v>
      </c>
    </row>
    <row r="60" spans="2:26" ht="15">
      <c r="B60" s="40" t="str">
        <f>IF(OR($B$21=32,$B$21=34,$B$21=36,$B$21=38,$B$21=40),2,"Bitte frei lassen!")</f>
        <v>Bitte frei lassen!</v>
      </c>
      <c r="C60" s="92" t="str">
        <f>IF($B60="Bitte frei lassen!","Frei_17","Spieler_17")</f>
        <v>Frei_17</v>
      </c>
      <c r="D60" s="92" t="str">
        <f>IF($B60="Bitte frei lassen!","Frei_37","Spieler_37")</f>
        <v>Frei_37</v>
      </c>
      <c r="E60" s="48" t="s">
        <v>13</v>
      </c>
      <c r="F60" s="1"/>
      <c r="G60" t="str">
        <f t="shared" si="1"/>
        <v>Frei_17 - Frei_37</v>
      </c>
      <c r="N60">
        <v>18</v>
      </c>
      <c r="O60" s="60" t="str">
        <f>H20</f>
        <v>2 Gruppen: Die besten vier aus jeder Gruppe ziehen in die K.O. Runde ein</v>
      </c>
      <c r="P60">
        <v>12341234</v>
      </c>
      <c r="Q60" t="s">
        <v>162</v>
      </c>
      <c r="R60" t="s">
        <v>111</v>
      </c>
      <c r="T60" s="26"/>
      <c r="W60" s="26"/>
      <c r="Z60" t="str">
        <f t="shared" si="0"/>
        <v>2 Gruppen: Die besten vier aus jeder Gruppe ziehen in die K.O. Runde ein12341234Grün16-20 Spieler</v>
      </c>
    </row>
    <row r="61" spans="2:26" ht="15">
      <c r="B61" s="40" t="str">
        <f>IF(OR($B$21=32,$B$21=34,$B$21=36,$B$21=38,$B$21=40),3,"Bitte frei lassen!")</f>
        <v>Bitte frei lassen!</v>
      </c>
      <c r="C61" s="92" t="str">
        <f>IF($B61="Bitte frei lassen!","Frei_18","Spieler_18")</f>
        <v>Frei_18</v>
      </c>
      <c r="D61" s="92" t="str">
        <f>IF($B61="Bitte frei lassen!","Frei_38","Spieler_38")</f>
        <v>Frei_38</v>
      </c>
      <c r="E61" s="48" t="s">
        <v>13</v>
      </c>
      <c r="F61" s="1"/>
      <c r="G61" t="str">
        <f t="shared" si="1"/>
        <v>Frei_18 - Frei_38</v>
      </c>
      <c r="O61" t="s">
        <v>51</v>
      </c>
      <c r="Z61" t="str">
        <f t="shared" si="0"/>
        <v>ACHTUNG: Ungerade Anzahl von Spielern --&gt; keine Teambildung möglich</v>
      </c>
    </row>
    <row r="62" spans="2:26" ht="15">
      <c r="B62" s="40" t="str">
        <f>IF(OR($B$21=32,$B$21=34,$B$21=36,$B$21=38,$B$21=40),4,"Bitte frei lassen!")</f>
        <v>Bitte frei lassen!</v>
      </c>
      <c r="C62" s="92" t="str">
        <f>IF($B62="Bitte frei lassen!","Frei_19","Spieler_19")</f>
        <v>Frei_19</v>
      </c>
      <c r="D62" s="92" t="str">
        <f>IF($B62="Bitte frei lassen!","Frei_39","Spieler_39")</f>
        <v>Frei_39</v>
      </c>
      <c r="E62" s="48" t="s">
        <v>13</v>
      </c>
      <c r="F62" s="1"/>
      <c r="G62" t="str">
        <f t="shared" si="1"/>
        <v>Frei_19 - Frei_39</v>
      </c>
      <c r="N62">
        <v>20</v>
      </c>
      <c r="O62" s="60" t="str">
        <f>H20</f>
        <v>2 Gruppen: Die besten vier aus jeder Gruppe ziehen in die K.O. Runde ein</v>
      </c>
      <c r="P62">
        <v>12341234</v>
      </c>
      <c r="Q62" t="s">
        <v>162</v>
      </c>
      <c r="R62" t="s">
        <v>111</v>
      </c>
      <c r="T62" s="26"/>
      <c r="W62" s="26"/>
      <c r="Z62" t="str">
        <f t="shared" si="0"/>
        <v>2 Gruppen: Die besten vier aus jeder Gruppe ziehen in die K.O. Runde ein12341234Grün16-20 Spieler</v>
      </c>
    </row>
    <row r="63" spans="2:26" ht="15.75" thickBot="1">
      <c r="B63" s="73" t="str">
        <f>IF(OR($B$21=40),5,"Bitte frei lassen!")</f>
        <v>Bitte frei lassen!</v>
      </c>
      <c r="C63" s="93" t="str">
        <f>IF($B63="Bitte frei lassen!","Frei_20","Spieler_20")</f>
        <v>Frei_20</v>
      </c>
      <c r="D63" s="93" t="str">
        <f>IF($B63="Bitte frei lassen!","Frei_40","Spieler_40")</f>
        <v>Frei_40</v>
      </c>
      <c r="E63" s="49" t="s">
        <v>13</v>
      </c>
      <c r="F63" s="1"/>
      <c r="G63" t="str">
        <f t="shared" si="1"/>
        <v>Frei_20 - Frei_40</v>
      </c>
      <c r="O63" t="s">
        <v>51</v>
      </c>
      <c r="Z63" t="str">
        <f t="shared" si="0"/>
        <v>ACHTUNG: Ungerade Anzahl von Spielern --&gt; keine Teambildung möglich</v>
      </c>
    </row>
    <row r="64" spans="3:26" ht="15">
      <c r="C64" s="1"/>
      <c r="D64" s="1"/>
      <c r="E64" s="1"/>
      <c r="F64" s="1"/>
      <c r="N64">
        <v>22</v>
      </c>
      <c r="O64" s="60" t="str">
        <f>H19</f>
        <v>3 Gruppen: Die besten zwei und die zwei besten dritten jeder Gruppe ziehen in die K.O. Runde ein</v>
      </c>
      <c r="P64">
        <v>12312312</v>
      </c>
      <c r="Q64" t="s">
        <v>161</v>
      </c>
      <c r="R64" t="s">
        <v>112</v>
      </c>
      <c r="T64" s="26"/>
      <c r="W64" s="26"/>
      <c r="Z64" t="str">
        <f t="shared" si="0"/>
        <v>3 Gruppen: Die besten zwei und die zwei besten dritten jeder Gruppe ziehen in die K.O. Runde ein12312312Orange22-30 Spieler</v>
      </c>
    </row>
    <row r="65" spans="3:26" ht="15">
      <c r="C65" s="1"/>
      <c r="D65" s="1"/>
      <c r="E65" s="1"/>
      <c r="F65" s="1"/>
      <c r="O65" t="s">
        <v>51</v>
      </c>
      <c r="Z65" t="str">
        <f t="shared" si="0"/>
        <v>ACHTUNG: Ungerade Anzahl von Spielern --&gt; keine Teambildung möglich</v>
      </c>
    </row>
    <row r="66" spans="3:26" ht="15" hidden="1">
      <c r="C66" s="1"/>
      <c r="D66" s="1"/>
      <c r="E66" s="1"/>
      <c r="F66" s="1"/>
      <c r="N66">
        <v>24</v>
      </c>
      <c r="O66" s="60" t="str">
        <f>H19</f>
        <v>3 Gruppen: Die besten zwei und die zwei besten dritten jeder Gruppe ziehen in die K.O. Runde ein</v>
      </c>
      <c r="P66">
        <v>12312312</v>
      </c>
      <c r="Q66" t="s">
        <v>161</v>
      </c>
      <c r="R66" t="s">
        <v>112</v>
      </c>
      <c r="T66" s="26"/>
      <c r="W66" s="26"/>
      <c r="Z66" t="str">
        <f t="shared" si="0"/>
        <v>3 Gruppen: Die besten zwei und die zwei besten dritten jeder Gruppe ziehen in die K.O. Runde ein12312312Orange22-30 Spieler</v>
      </c>
    </row>
    <row r="67" spans="3:26" ht="15" hidden="1">
      <c r="C67" s="1"/>
      <c r="D67" s="1"/>
      <c r="E67" s="1"/>
      <c r="F67" s="1"/>
      <c r="O67" t="s">
        <v>51</v>
      </c>
      <c r="Z67" t="str">
        <f t="shared" si="0"/>
        <v>ACHTUNG: Ungerade Anzahl von Spielern --&gt; keine Teambildung möglich</v>
      </c>
    </row>
    <row r="68" spans="14:26" ht="15" hidden="1">
      <c r="N68">
        <v>26</v>
      </c>
      <c r="O68" s="60" t="str">
        <f>H19</f>
        <v>3 Gruppen: Die besten zwei und die zwei besten dritten jeder Gruppe ziehen in die K.O. Runde ein</v>
      </c>
      <c r="P68">
        <v>12312312</v>
      </c>
      <c r="Q68" t="s">
        <v>161</v>
      </c>
      <c r="R68" t="s">
        <v>112</v>
      </c>
      <c r="T68" s="26"/>
      <c r="W68" s="26"/>
      <c r="Z68" t="str">
        <f t="shared" si="0"/>
        <v>3 Gruppen: Die besten zwei und die zwei besten dritten jeder Gruppe ziehen in die K.O. Runde ein12312312Orange22-30 Spieler</v>
      </c>
    </row>
    <row r="69" spans="15:26" ht="15" hidden="1">
      <c r="O69" t="s">
        <v>51</v>
      </c>
      <c r="Z69" t="str">
        <f t="shared" si="0"/>
        <v>ACHTUNG: Ungerade Anzahl von Spielern --&gt; keine Teambildung möglich</v>
      </c>
    </row>
    <row r="70" spans="14:26" ht="15" hidden="1">
      <c r="N70">
        <v>28</v>
      </c>
      <c r="O70" s="60" t="str">
        <f>H19</f>
        <v>3 Gruppen: Die besten zwei und die zwei besten dritten jeder Gruppe ziehen in die K.O. Runde ein</v>
      </c>
      <c r="P70">
        <v>12312312</v>
      </c>
      <c r="Q70" t="s">
        <v>161</v>
      </c>
      <c r="R70" t="s">
        <v>112</v>
      </c>
      <c r="T70" s="26"/>
      <c r="W70" s="26"/>
      <c r="Z70" t="str">
        <f t="shared" si="0"/>
        <v>3 Gruppen: Die besten zwei und die zwei besten dritten jeder Gruppe ziehen in die K.O. Runde ein12312312Orange22-30 Spieler</v>
      </c>
    </row>
    <row r="71" spans="2:26" ht="15" hidden="1">
      <c r="B71" s="2"/>
      <c r="O71" t="s">
        <v>51</v>
      </c>
      <c r="Z71" t="str">
        <f t="shared" si="0"/>
        <v>ACHTUNG: Ungerade Anzahl von Spielern --&gt; keine Teambildung möglich</v>
      </c>
    </row>
    <row r="72" spans="14:26" ht="15" hidden="1">
      <c r="N72">
        <v>30</v>
      </c>
      <c r="O72" s="60" t="str">
        <f>H19</f>
        <v>3 Gruppen: Die besten zwei und die zwei besten dritten jeder Gruppe ziehen in die K.O. Runde ein</v>
      </c>
      <c r="P72">
        <v>12312312</v>
      </c>
      <c r="Q72" t="s">
        <v>161</v>
      </c>
      <c r="R72" t="s">
        <v>112</v>
      </c>
      <c r="T72" s="26"/>
      <c r="W72" s="26"/>
      <c r="Z72" t="str">
        <f t="shared" si="0"/>
        <v>3 Gruppen: Die besten zwei und die zwei besten dritten jeder Gruppe ziehen in die K.O. Runde ein12312312Orange22-30 Spieler</v>
      </c>
    </row>
    <row r="73" spans="15:26" ht="15" hidden="1">
      <c r="O73" t="s">
        <v>51</v>
      </c>
      <c r="Z73" t="str">
        <f t="shared" si="0"/>
        <v>ACHTUNG: Ungerade Anzahl von Spielern --&gt; keine Teambildung möglich</v>
      </c>
    </row>
    <row r="74" spans="14:26" ht="15" hidden="1">
      <c r="N74">
        <v>32</v>
      </c>
      <c r="O74" s="60" t="str">
        <f>H18</f>
        <v>4 Gruppen: Die besten zwei aus jeder Gruppe ziehen in die K.O. Runde ein</v>
      </c>
      <c r="P74">
        <v>12121212</v>
      </c>
      <c r="Q74" t="s">
        <v>160</v>
      </c>
      <c r="R74" t="s">
        <v>113</v>
      </c>
      <c r="T74" s="26"/>
      <c r="W74" s="26"/>
      <c r="Z74" t="str">
        <f t="shared" si="0"/>
        <v>4 Gruppen: Die besten zwei aus jeder Gruppe ziehen in die K.O. Runde ein12121212Rot32-40 Spieler</v>
      </c>
    </row>
    <row r="75" spans="15:26" ht="15" hidden="1">
      <c r="O75" t="s">
        <v>51</v>
      </c>
      <c r="Z75" t="str">
        <f t="shared" si="0"/>
        <v>ACHTUNG: Ungerade Anzahl von Spielern --&gt; keine Teambildung möglich</v>
      </c>
    </row>
    <row r="76" spans="3:26" ht="15" hidden="1">
      <c r="C76" t="s">
        <v>178</v>
      </c>
      <c r="N76">
        <v>34</v>
      </c>
      <c r="O76" s="60" t="str">
        <f>H18</f>
        <v>4 Gruppen: Die besten zwei aus jeder Gruppe ziehen in die K.O. Runde ein</v>
      </c>
      <c r="P76">
        <v>12121212</v>
      </c>
      <c r="Q76" t="s">
        <v>160</v>
      </c>
      <c r="R76" t="s">
        <v>113</v>
      </c>
      <c r="T76" s="26"/>
      <c r="W76" s="26"/>
      <c r="Z76" t="str">
        <f t="shared" si="0"/>
        <v>4 Gruppen: Die besten zwei aus jeder Gruppe ziehen in die K.O. Runde ein12121212Rot32-40 Spieler</v>
      </c>
    </row>
    <row r="77" spans="15:26" ht="15" hidden="1">
      <c r="O77" t="s">
        <v>51</v>
      </c>
      <c r="Z77" t="str">
        <f t="shared" si="0"/>
        <v>ACHTUNG: Ungerade Anzahl von Spielern --&gt; keine Teambildung möglich</v>
      </c>
    </row>
    <row r="78" spans="3:26" ht="15" hidden="1">
      <c r="C78" s="74" t="s">
        <v>67</v>
      </c>
      <c r="D78" s="74" t="s">
        <v>75</v>
      </c>
      <c r="N78">
        <v>36</v>
      </c>
      <c r="O78" s="60" t="str">
        <f>H18</f>
        <v>4 Gruppen: Die besten zwei aus jeder Gruppe ziehen in die K.O. Runde ein</v>
      </c>
      <c r="P78">
        <v>12121212</v>
      </c>
      <c r="Q78" t="s">
        <v>160</v>
      </c>
      <c r="R78" t="s">
        <v>113</v>
      </c>
      <c r="T78" s="26"/>
      <c r="W78" s="26"/>
      <c r="Z78" t="str">
        <f t="shared" si="0"/>
        <v>4 Gruppen: Die besten zwei aus jeder Gruppe ziehen in die K.O. Runde ein12121212Rot32-40 Spieler</v>
      </c>
    </row>
    <row r="79" spans="3:26" ht="15" hidden="1">
      <c r="C79" s="74" t="s">
        <v>76</v>
      </c>
      <c r="D79" s="74" t="s">
        <v>68</v>
      </c>
      <c r="O79" t="s">
        <v>51</v>
      </c>
      <c r="Z79" t="str">
        <f t="shared" si="0"/>
        <v>ACHTUNG: Ungerade Anzahl von Spielern --&gt; keine Teambildung möglich</v>
      </c>
    </row>
    <row r="80" spans="3:26" ht="15" hidden="1">
      <c r="C80" s="74" t="s">
        <v>71</v>
      </c>
      <c r="D80" s="74" t="s">
        <v>60</v>
      </c>
      <c r="N80">
        <v>38</v>
      </c>
      <c r="O80" s="60" t="str">
        <f>H18</f>
        <v>4 Gruppen: Die besten zwei aus jeder Gruppe ziehen in die K.O. Runde ein</v>
      </c>
      <c r="P80">
        <v>12121212</v>
      </c>
      <c r="Q80" t="s">
        <v>160</v>
      </c>
      <c r="R80" t="s">
        <v>113</v>
      </c>
      <c r="T80" s="26"/>
      <c r="W80" s="26"/>
      <c r="Z80" t="str">
        <f t="shared" si="0"/>
        <v>4 Gruppen: Die besten zwei aus jeder Gruppe ziehen in die K.O. Runde ein12121212Rot32-40 Spieler</v>
      </c>
    </row>
    <row r="81" spans="3:26" ht="15" hidden="1">
      <c r="C81" s="74" t="s">
        <v>73</v>
      </c>
      <c r="D81" s="74" t="s">
        <v>64</v>
      </c>
      <c r="O81" t="s">
        <v>51</v>
      </c>
      <c r="Z81" t="str">
        <f t="shared" si="0"/>
        <v>ACHTUNG: Ungerade Anzahl von Spielern --&gt; keine Teambildung möglich</v>
      </c>
    </row>
    <row r="82" spans="3:26" ht="15.75" hidden="1" thickBot="1">
      <c r="C82" s="83" t="s">
        <v>63</v>
      </c>
      <c r="D82" s="75" t="s">
        <v>70</v>
      </c>
      <c r="N82">
        <v>40</v>
      </c>
      <c r="O82" s="60" t="str">
        <f>H18</f>
        <v>4 Gruppen: Die besten zwei aus jeder Gruppe ziehen in die K.O. Runde ein</v>
      </c>
      <c r="P82">
        <v>12121212</v>
      </c>
      <c r="Q82" t="s">
        <v>160</v>
      </c>
      <c r="R82" t="s">
        <v>113</v>
      </c>
      <c r="T82" s="26"/>
      <c r="W82" s="26"/>
      <c r="Z82" t="str">
        <f t="shared" si="0"/>
        <v>4 Gruppen: Die besten zwei aus jeder Gruppe ziehen in die K.O. Runde ein12121212Rot32-40 Spieler</v>
      </c>
    </row>
    <row r="83" spans="3:26" ht="15" hidden="1">
      <c r="C83" s="76" t="s">
        <v>65</v>
      </c>
      <c r="D83" s="76" t="s">
        <v>77</v>
      </c>
      <c r="N83">
        <v>0</v>
      </c>
      <c r="O83" t="s">
        <v>177</v>
      </c>
      <c r="R83" t="s">
        <v>183</v>
      </c>
      <c r="T83" s="26"/>
      <c r="W83" s="26"/>
      <c r="Z83" t="str">
        <f t="shared" si="0"/>
        <v>Are u kidding me!!! Keine SpielerKeine Spieler!</v>
      </c>
    </row>
    <row r="84" spans="3:4" ht="15" hidden="1">
      <c r="C84" s="77" t="s">
        <v>78</v>
      </c>
      <c r="D84" s="77" t="s">
        <v>62</v>
      </c>
    </row>
    <row r="85" spans="3:4" ht="15" hidden="1">
      <c r="C85" s="77" t="s">
        <v>79</v>
      </c>
      <c r="D85" s="77" t="s">
        <v>61</v>
      </c>
    </row>
    <row r="86" spans="3:4" ht="15" hidden="1">
      <c r="C86" s="77" t="s">
        <v>74</v>
      </c>
      <c r="D86" s="77" t="s">
        <v>66</v>
      </c>
    </row>
    <row r="87" spans="3:4" ht="15.75" hidden="1" thickBot="1">
      <c r="C87" s="78" t="s">
        <v>72</v>
      </c>
      <c r="D87" s="78" t="s">
        <v>69</v>
      </c>
    </row>
    <row r="88" spans="3:4" ht="15" hidden="1">
      <c r="C88" s="79" t="s">
        <v>82</v>
      </c>
      <c r="D88" s="79" t="s">
        <v>83</v>
      </c>
    </row>
    <row r="89" spans="3:4" ht="15" hidden="1">
      <c r="C89" s="79" t="s">
        <v>84</v>
      </c>
      <c r="D89" s="79" t="s">
        <v>85</v>
      </c>
    </row>
    <row r="90" spans="3:4" ht="15" hidden="1">
      <c r="C90" s="79" t="s">
        <v>86</v>
      </c>
      <c r="D90" s="79" t="s">
        <v>87</v>
      </c>
    </row>
    <row r="91" spans="3:4" ht="15" hidden="1">
      <c r="C91" s="79" t="s">
        <v>88</v>
      </c>
      <c r="D91" s="79" t="s">
        <v>89</v>
      </c>
    </row>
    <row r="92" spans="3:4" ht="15.75" hidden="1" thickBot="1">
      <c r="C92" s="80" t="s">
        <v>90</v>
      </c>
      <c r="D92" s="80" t="s">
        <v>91</v>
      </c>
    </row>
    <row r="93" spans="3:4" ht="15" hidden="1">
      <c r="C93" s="81" t="s">
        <v>92</v>
      </c>
      <c r="D93" s="81" t="s">
        <v>93</v>
      </c>
    </row>
    <row r="94" spans="3:4" ht="15" hidden="1">
      <c r="C94" s="81" t="s">
        <v>94</v>
      </c>
      <c r="D94" s="81" t="s">
        <v>95</v>
      </c>
    </row>
    <row r="95" spans="3:4" ht="15" hidden="1">
      <c r="C95" s="81" t="s">
        <v>96</v>
      </c>
      <c r="D95" s="81" t="s">
        <v>97</v>
      </c>
    </row>
    <row r="96" spans="3:4" ht="15" hidden="1">
      <c r="C96" s="81" t="s">
        <v>98</v>
      </c>
      <c r="D96" s="81" t="s">
        <v>99</v>
      </c>
    </row>
    <row r="97" spans="3:4" ht="15.75" hidden="1" thickBot="1">
      <c r="C97" s="82" t="s">
        <v>100</v>
      </c>
      <c r="D97" s="82" t="s">
        <v>101</v>
      </c>
    </row>
  </sheetData>
  <sheetProtection password="8BEA" sheet="1" selectLockedCells="1"/>
  <mergeCells count="8">
    <mergeCell ref="B2:E2"/>
    <mergeCell ref="B26:E26"/>
    <mergeCell ref="B20:E20"/>
    <mergeCell ref="B21:E21"/>
    <mergeCell ref="B19:E19"/>
    <mergeCell ref="B27:E27"/>
    <mergeCell ref="B22:E22"/>
    <mergeCell ref="B23:E23"/>
  </mergeCells>
  <dataValidations count="1">
    <dataValidation type="list" showDropDown="1" showInputMessage="1" showErrorMessage="1" errorTitle="Falsche Eingabe" error="Unzulässig:&#10;NULL Spieler&#10;Ungerade Spielerzahl&#10;Über 40 Spieler" sqref="B21">
      <formula1>$N$43:$N$83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rgb="FF7030A0"/>
  </sheetPr>
  <dimension ref="A1:J83"/>
  <sheetViews>
    <sheetView showGridLines="0" zoomScalePageLayoutView="0" workbookViewId="0" topLeftCell="A40">
      <selection activeCell="H47" sqref="H47"/>
    </sheetView>
  </sheetViews>
  <sheetFormatPr defaultColWidth="11.421875" defaultRowHeight="15"/>
  <cols>
    <col min="1" max="1" width="7.28125" style="0" customWidth="1"/>
    <col min="2" max="2" width="39.28125" style="0" customWidth="1"/>
    <col min="3" max="3" width="9.140625" style="0" customWidth="1"/>
    <col min="4" max="5" width="10.7109375" style="0" customWidth="1"/>
    <col min="6" max="6" width="9.140625" style="0" customWidth="1"/>
    <col min="7" max="7" width="63.00390625" style="0" customWidth="1"/>
    <col min="8" max="8" width="3.28125" style="0" customWidth="1"/>
    <col min="9" max="9" width="2.00390625" style="0" customWidth="1"/>
    <col min="10" max="10" width="3.28125" style="0" customWidth="1"/>
    <col min="12" max="12" width="23.00390625" style="0" customWidth="1"/>
  </cols>
  <sheetData>
    <row r="1" ht="15" hidden="1">
      <c r="A1" s="23"/>
    </row>
    <row r="2" ht="15" hidden="1">
      <c r="A2" s="24"/>
    </row>
    <row r="3" ht="15" hidden="1">
      <c r="A3" s="24"/>
    </row>
    <row r="4" ht="15" hidden="1">
      <c r="A4" s="24"/>
    </row>
    <row r="5" ht="15" hidden="1">
      <c r="A5" s="24"/>
    </row>
    <row r="6" ht="15" hidden="1">
      <c r="A6" s="24"/>
    </row>
    <row r="7" ht="15" hidden="1">
      <c r="A7" s="24"/>
    </row>
    <row r="8" ht="15.75" hidden="1" thickBot="1">
      <c r="A8" s="25"/>
    </row>
    <row r="9" ht="15" hidden="1">
      <c r="A9" t="s">
        <v>20</v>
      </c>
    </row>
    <row r="10" spans="1:3" ht="15" hidden="1">
      <c r="A10" t="s">
        <v>102</v>
      </c>
      <c r="C10" t="s">
        <v>103</v>
      </c>
    </row>
    <row r="11" spans="1:4" ht="15" hidden="1">
      <c r="A11" s="4" t="s">
        <v>16</v>
      </c>
      <c r="B11" s="4" t="s">
        <v>17</v>
      </c>
      <c r="C11" s="4" t="s">
        <v>18</v>
      </c>
      <c r="D11" s="4" t="s">
        <v>19</v>
      </c>
    </row>
    <row r="12" spans="1:4" ht="15" hidden="1">
      <c r="A12" s="4">
        <f>RANK(C34,C34:C38,0)</f>
        <v>1</v>
      </c>
      <c r="B12" s="4">
        <f>RANK(D34,D34:D38,0)</f>
        <v>1</v>
      </c>
      <c r="C12" s="4">
        <f>A12+(B12/10)</f>
        <v>1.1</v>
      </c>
      <c r="D12" s="7">
        <f>IF(C12="","",RANK(C12,C12:C16,1)+ROW($A$1)%%)</f>
        <v>1.0001</v>
      </c>
    </row>
    <row r="13" spans="1:4" ht="15" hidden="1">
      <c r="A13" s="4">
        <f>RANK(C35,C34:C38,0)</f>
        <v>1</v>
      </c>
      <c r="B13" s="4">
        <f>RANK(D35,D34:D38,0)</f>
        <v>1</v>
      </c>
      <c r="C13" s="4">
        <f>A13+(B13/10)</f>
        <v>1.1</v>
      </c>
      <c r="D13" s="7">
        <f>IF(C13="","",RANK(C13,C12:C16,1)+ROW($A$2)%%)</f>
        <v>1.0002</v>
      </c>
    </row>
    <row r="14" spans="1:4" ht="15" hidden="1">
      <c r="A14" s="4">
        <f>RANK(C36,C34:C38,0)</f>
        <v>1</v>
      </c>
      <c r="B14" s="4">
        <f>RANK(D36,D34:D38,0)</f>
        <v>1</v>
      </c>
      <c r="C14" s="4">
        <f>A14+(B14/10)</f>
        <v>1.1</v>
      </c>
      <c r="D14" s="7">
        <f>IF(C14="","",RANK(C14,C12:C16,1)+ROW($A$3)%%)</f>
        <v>1.0003</v>
      </c>
    </row>
    <row r="15" spans="1:4" ht="15" hidden="1">
      <c r="A15" s="4">
        <f>RANK(C37,C34:C38,0)</f>
        <v>1</v>
      </c>
      <c r="B15" s="4">
        <f>RANK(D37,D34:D38,0)</f>
        <v>1</v>
      </c>
      <c r="C15" s="4">
        <f>A15+(B15/10)</f>
        <v>1.1</v>
      </c>
      <c r="D15" s="7">
        <f>IF(C15="","",RANK(C15,C12:C16,1)+ROW($A$4)%%)</f>
        <v>1.0004</v>
      </c>
    </row>
    <row r="16" spans="1:4" ht="15" hidden="1">
      <c r="A16" s="4">
        <f>RANK(C38,C34:C38,0)</f>
        <v>1</v>
      </c>
      <c r="B16" s="4">
        <f>RANK(D38,D34:D38,0)</f>
        <v>1</v>
      </c>
      <c r="C16" s="4">
        <f>A16+(B16/10)</f>
        <v>1.1</v>
      </c>
      <c r="D16" s="7">
        <f>IF(C16="","",RANK(C16,C12:C16,1)+ROW($A$5)%%)</f>
        <v>1.0005</v>
      </c>
    </row>
    <row r="17" ht="15" hidden="1"/>
    <row r="18" ht="15" hidden="1"/>
    <row r="19" spans="1:3" ht="15" hidden="1">
      <c r="A19" s="3" t="s">
        <v>23</v>
      </c>
      <c r="B19" s="3"/>
      <c r="C19" t="s">
        <v>26</v>
      </c>
    </row>
    <row r="20" spans="1:3" ht="15" hidden="1">
      <c r="A20" s="3">
        <f>IF(H47&gt;J47,Spielernamen_Einstellungen!$B$23,0)</f>
        <v>0</v>
      </c>
      <c r="B20" s="3">
        <f>IF(J47&gt;H47,Spielernamen_Einstellungen!$B$23,0)</f>
        <v>0</v>
      </c>
      <c r="C20">
        <v>1</v>
      </c>
    </row>
    <row r="21" spans="1:3" ht="15" hidden="1">
      <c r="A21" s="3">
        <f>IF(H48&gt;J48,Spielernamen_Einstellungen!$B$23,0)</f>
        <v>0</v>
      </c>
      <c r="B21" s="3">
        <f>IF(J48&gt;H48,Spielernamen_Einstellungen!$B$23,0)</f>
        <v>0</v>
      </c>
      <c r="C21">
        <v>2</v>
      </c>
    </row>
    <row r="22" spans="1:3" ht="15" hidden="1">
      <c r="A22" s="3">
        <f>IF(H49&gt;J49,Spielernamen_Einstellungen!$B$23,0)</f>
        <v>0</v>
      </c>
      <c r="B22" s="3">
        <f>IF(J49&gt;H49,Spielernamen_Einstellungen!$B$23,0)</f>
        <v>0</v>
      </c>
      <c r="C22">
        <v>3</v>
      </c>
    </row>
    <row r="23" spans="1:3" ht="15" hidden="1">
      <c r="A23" s="3">
        <f>IF(H50&gt;J50,Spielernamen_Einstellungen!$B$23,0)</f>
        <v>0</v>
      </c>
      <c r="B23" s="3">
        <f>IF(J50&gt;H50,Spielernamen_Einstellungen!$B$23,0)</f>
        <v>0</v>
      </c>
      <c r="C23">
        <v>4</v>
      </c>
    </row>
    <row r="24" spans="1:3" ht="15" hidden="1">
      <c r="A24" s="3">
        <f>IF(H51&gt;J51,Spielernamen_Einstellungen!$B$23,0)</f>
        <v>0</v>
      </c>
      <c r="B24" s="3">
        <f>IF(J51&gt;H51,Spielernamen_Einstellungen!$B$23,0)</f>
        <v>0</v>
      </c>
      <c r="C24">
        <v>5</v>
      </c>
    </row>
    <row r="25" spans="1:3" ht="15" hidden="1">
      <c r="A25" s="3">
        <f>IF(H52&gt;J52,Spielernamen_Einstellungen!$B$23,0)</f>
        <v>0</v>
      </c>
      <c r="B25" s="3">
        <f>IF(J52&gt;H52,Spielernamen_Einstellungen!$B$23,0)</f>
        <v>0</v>
      </c>
      <c r="C25">
        <v>6</v>
      </c>
    </row>
    <row r="26" spans="1:3" ht="15" hidden="1">
      <c r="A26" s="3">
        <f>IF(H53&gt;J53,Spielernamen_Einstellungen!$B$23,0)</f>
        <v>0</v>
      </c>
      <c r="B26" s="3">
        <f>IF(J53&gt;H53,Spielernamen_Einstellungen!$B$23,0)</f>
        <v>0</v>
      </c>
      <c r="C26">
        <v>7</v>
      </c>
    </row>
    <row r="27" spans="1:3" ht="15" hidden="1">
      <c r="A27" s="3">
        <f>IF(H54&gt;J54,Spielernamen_Einstellungen!$B$23,0)</f>
        <v>0</v>
      </c>
      <c r="B27" s="3">
        <f>IF(J54&gt;H54,Spielernamen_Einstellungen!$B$23,0)</f>
        <v>0</v>
      </c>
      <c r="C27">
        <v>8</v>
      </c>
    </row>
    <row r="28" spans="1:3" ht="15" hidden="1">
      <c r="A28" s="3">
        <f>IF(H55&gt;J55,Spielernamen_Einstellungen!$B$23,0)</f>
        <v>0</v>
      </c>
      <c r="B28" s="3">
        <f>IF(J55&gt;H55,Spielernamen_Einstellungen!$B$23,0)</f>
        <v>0</v>
      </c>
      <c r="C28">
        <v>9</v>
      </c>
    </row>
    <row r="29" spans="1:3" ht="15" hidden="1">
      <c r="A29" s="3">
        <f>IF(H56&gt;J56,Spielernamen_Einstellungen!$B$23,0)</f>
        <v>0</v>
      </c>
      <c r="B29" s="3">
        <f>IF(J56&gt;H56,Spielernamen_Einstellungen!$B$23,0)</f>
        <v>0</v>
      </c>
      <c r="C29">
        <v>10</v>
      </c>
    </row>
    <row r="30" ht="15" hidden="1"/>
    <row r="31" ht="15" hidden="1"/>
    <row r="32" spans="1:4" ht="15" hidden="1">
      <c r="A32" s="5"/>
      <c r="B32" s="22" t="s">
        <v>27</v>
      </c>
      <c r="C32" s="5"/>
      <c r="D32" s="5"/>
    </row>
    <row r="33" spans="1:4" ht="15" hidden="1">
      <c r="A33" s="5" t="s">
        <v>15</v>
      </c>
      <c r="B33" s="5"/>
      <c r="C33" s="5" t="s">
        <v>6</v>
      </c>
      <c r="D33" s="5" t="s">
        <v>9</v>
      </c>
    </row>
    <row r="34" spans="1:4" ht="15" hidden="1">
      <c r="A34" s="6">
        <f>D12</f>
        <v>1.0001</v>
      </c>
      <c r="B34" s="5" t="str">
        <f>Spielernamen_Einstellungen!I44</f>
        <v>Frei_1 - Frei_21</v>
      </c>
      <c r="C34" s="6">
        <f>A20+A22+A25+B27</f>
        <v>0</v>
      </c>
      <c r="D34" s="5">
        <f>H47+H49+H52-J47-J49-J52+J54-H54</f>
        <v>0</v>
      </c>
    </row>
    <row r="35" spans="1:4" ht="15" hidden="1">
      <c r="A35" s="6">
        <f>D13</f>
        <v>1.0002</v>
      </c>
      <c r="B35" s="5" t="str">
        <f>Spielernamen_Einstellungen!I45</f>
        <v>Frei_2 - Frei_22</v>
      </c>
      <c r="C35" s="5">
        <f>B20+A23+A26+A29</f>
        <v>0</v>
      </c>
      <c r="D35" s="5">
        <f>J47-H47+H50-J50+H53-J53+H56-J56</f>
        <v>0</v>
      </c>
    </row>
    <row r="36" spans="1:4" ht="15" hidden="1">
      <c r="A36" s="6">
        <f>D14</f>
        <v>1.0003</v>
      </c>
      <c r="B36" s="5" t="str">
        <f>Spielernamen_Einstellungen!I46</f>
        <v>Frei_3 - Frei_23</v>
      </c>
      <c r="C36" s="5">
        <f>A21+A24+A27+B29</f>
        <v>0</v>
      </c>
      <c r="D36" s="5">
        <f>H48-J48+H51-J51+H54-J54+J56-H56</f>
        <v>0</v>
      </c>
    </row>
    <row r="37" spans="1:4" ht="15" hidden="1">
      <c r="A37" s="6">
        <f>D15</f>
        <v>1.0004</v>
      </c>
      <c r="B37" s="5" t="str">
        <f>Spielernamen_Einstellungen!I47</f>
        <v>Frei_4 - Frei_24</v>
      </c>
      <c r="C37" s="5">
        <f>B21+B23+B25+B28</f>
        <v>0</v>
      </c>
      <c r="D37" s="5">
        <f>J48-H48+J50-H50+J52-H52+J55-H55</f>
        <v>0</v>
      </c>
    </row>
    <row r="38" spans="1:4" ht="15" hidden="1">
      <c r="A38" s="6">
        <f>D16</f>
        <v>1.0005</v>
      </c>
      <c r="B38" s="5" t="str">
        <f>Spielernamen_Einstellungen!I48</f>
        <v>Frei_5 - Frei_25</v>
      </c>
      <c r="C38" s="5">
        <f>B22+B24+B26+A28</f>
        <v>0</v>
      </c>
      <c r="D38" s="5">
        <f>J49-H49+J51-H51+J53-H53+H55-J55</f>
        <v>0</v>
      </c>
    </row>
    <row r="39" ht="15" hidden="1">
      <c r="A39" t="s">
        <v>21</v>
      </c>
    </row>
    <row r="40" ht="15.75" thickBot="1"/>
    <row r="41" spans="1:10" ht="24" thickBot="1">
      <c r="A41" s="119" t="s">
        <v>141</v>
      </c>
      <c r="B41" s="120"/>
      <c r="C41" s="120"/>
      <c r="D41" s="120"/>
      <c r="E41" s="120"/>
      <c r="F41" s="120"/>
      <c r="G41" s="120"/>
      <c r="H41" s="120"/>
      <c r="I41" s="120"/>
      <c r="J41" s="121"/>
    </row>
    <row r="44" spans="1:10" ht="23.25">
      <c r="A44" s="21" t="s">
        <v>4</v>
      </c>
      <c r="B44" s="20"/>
      <c r="C44" s="20"/>
      <c r="D44" s="20"/>
      <c r="E44" s="20"/>
      <c r="F44" s="20"/>
      <c r="G44" s="20"/>
      <c r="H44" s="20"/>
      <c r="I44" s="20"/>
      <c r="J44" s="20"/>
    </row>
    <row r="46" spans="1:10" ht="15">
      <c r="A46" s="11" t="s">
        <v>24</v>
      </c>
      <c r="B46" s="11" t="s">
        <v>22</v>
      </c>
      <c r="C46" s="11" t="s">
        <v>6</v>
      </c>
      <c r="D46" s="11" t="s">
        <v>9</v>
      </c>
      <c r="F46" s="11" t="s">
        <v>26</v>
      </c>
      <c r="G46" s="10" t="s">
        <v>25</v>
      </c>
      <c r="H46" s="15" t="s">
        <v>7</v>
      </c>
      <c r="I46" s="16"/>
      <c r="J46" s="17"/>
    </row>
    <row r="47" spans="1:10" ht="15">
      <c r="A47" s="9">
        <f>IF(ROW($A$1)&gt;COUNT(D12:D16),"",SMALL(D12:D16,ROW($A$1)))</f>
        <v>1.0001</v>
      </c>
      <c r="B47" s="12" t="str">
        <f>IF($A47="","",INDEX(B34:B38,MATCH($A47,$A34:A38,0)))</f>
        <v>Frei_1 - Frei_21</v>
      </c>
      <c r="C47" s="13">
        <f>VLOOKUP(B47,B34:D38,2,FALSE)</f>
        <v>0</v>
      </c>
      <c r="D47" s="13">
        <f>VLOOKUP(B47,B34:D38,3,FALSE)</f>
        <v>0</v>
      </c>
      <c r="F47" s="8">
        <v>1</v>
      </c>
      <c r="G47" s="12" t="str">
        <f>CONCATENATE(B34," &lt;&lt;&lt;vs.&gt;&gt;&gt; ",B35)</f>
        <v>Frei_1 - Frei_21 &lt;&lt;&lt;vs.&gt;&gt;&gt; Frei_2 - Frei_22</v>
      </c>
      <c r="H47" s="18"/>
      <c r="I47" s="14" t="s">
        <v>8</v>
      </c>
      <c r="J47" s="19"/>
    </row>
    <row r="48" spans="1:10" ht="15">
      <c r="A48" s="9">
        <f>IF(ROW($A$2)&gt;COUNT(D12:D16),"",SMALL(D12:D16,ROW($A$2)))</f>
        <v>1.0002</v>
      </c>
      <c r="B48" s="12" t="str">
        <f>IF($A48="","",INDEX(B34:B38,MATCH($A48,$A34:A38,0)))</f>
        <v>Frei_2 - Frei_22</v>
      </c>
      <c r="C48" s="13">
        <f>VLOOKUP(B48,B34:D38,2,FALSE)</f>
        <v>0</v>
      </c>
      <c r="D48" s="13">
        <f>VLOOKUP(B48,B34:D38,3,FALSE)</f>
        <v>0</v>
      </c>
      <c r="F48" s="8">
        <v>2</v>
      </c>
      <c r="G48" s="12" t="str">
        <f>CONCATENATE(B36," &lt;&lt;&lt;vs.&gt;&gt;&gt; ",B37)</f>
        <v>Frei_3 - Frei_23 &lt;&lt;&lt;vs.&gt;&gt;&gt; Frei_4 - Frei_24</v>
      </c>
      <c r="H48" s="18"/>
      <c r="I48" s="14" t="s">
        <v>8</v>
      </c>
      <c r="J48" s="19"/>
    </row>
    <row r="49" spans="1:10" ht="15">
      <c r="A49" s="9">
        <f>IF(ROW($A$3)&gt;COUNT(D12:D16),"",SMALL(D12:D16,ROW($A$3)))</f>
        <v>1.0003</v>
      </c>
      <c r="B49" s="12" t="str">
        <f>IF($A49="","",INDEX(B34:B38,MATCH($A49,$A34:A38,0)))</f>
        <v>Frei_3 - Frei_23</v>
      </c>
      <c r="C49" s="13">
        <f>VLOOKUP(B49,B34:D38,2,FALSE)</f>
        <v>0</v>
      </c>
      <c r="D49" s="13">
        <f>VLOOKUP(B49,B34:D38,3,FALSE)</f>
        <v>0</v>
      </c>
      <c r="F49" s="8">
        <v>3</v>
      </c>
      <c r="G49" s="12" t="str">
        <f>CONCATENATE(B34," &lt;&lt;&lt;vs.&gt;&gt;&gt; ",B38)</f>
        <v>Frei_1 - Frei_21 &lt;&lt;&lt;vs.&gt;&gt;&gt; Frei_5 - Frei_25</v>
      </c>
      <c r="H49" s="18"/>
      <c r="I49" s="14" t="s">
        <v>8</v>
      </c>
      <c r="J49" s="19"/>
    </row>
    <row r="50" spans="1:10" ht="15">
      <c r="A50" s="9">
        <f>IF(ROW($A$4)&gt;COUNT(D12:D16),"",SMALL(D12:D16,ROW($A$4)))</f>
        <v>1.0004</v>
      </c>
      <c r="B50" s="12" t="str">
        <f>IF($A50="","",INDEX(B34:B38,MATCH($A50,$A34:A38,0)))</f>
        <v>Frei_4 - Frei_24</v>
      </c>
      <c r="C50" s="13">
        <f>VLOOKUP(B50,B34:D38,2,FALSE)</f>
        <v>0</v>
      </c>
      <c r="D50" s="13">
        <f>VLOOKUP(B50,B34:D38,3,FALSE)</f>
        <v>0</v>
      </c>
      <c r="F50" s="8">
        <v>4</v>
      </c>
      <c r="G50" s="12" t="str">
        <f>CONCATENATE(B35," &lt;&lt;&lt;vs.&gt;&gt;&gt; ",B37)</f>
        <v>Frei_2 - Frei_22 &lt;&lt;&lt;vs.&gt;&gt;&gt; Frei_4 - Frei_24</v>
      </c>
      <c r="H50" s="18"/>
      <c r="I50" s="14" t="s">
        <v>8</v>
      </c>
      <c r="J50" s="19"/>
    </row>
    <row r="51" spans="1:10" ht="15">
      <c r="A51" s="9">
        <f>IF(ROW($A$5)&gt;COUNT(D12:D16),"",SMALL(D12:D16,ROW($A$5)))</f>
        <v>1.0005</v>
      </c>
      <c r="B51" s="12" t="str">
        <f>IF($A51="","",INDEX(B34:B38,MATCH($A51,$A34:A38,0)))</f>
        <v>Frei_5 - Frei_25</v>
      </c>
      <c r="C51" s="13">
        <f>VLOOKUP(B51,B34:D38,2,FALSE)</f>
        <v>0</v>
      </c>
      <c r="D51" s="13">
        <f>VLOOKUP(B51,B34:D38,3,FALSE)</f>
        <v>0</v>
      </c>
      <c r="F51" s="8">
        <v>5</v>
      </c>
      <c r="G51" s="12" t="str">
        <f>CONCATENATE(B36," &lt;&lt;&lt;vs.&gt;&gt;&gt; ",B38)</f>
        <v>Frei_3 - Frei_23 &lt;&lt;&lt;vs.&gt;&gt;&gt; Frei_5 - Frei_25</v>
      </c>
      <c r="H51" s="18"/>
      <c r="I51" s="14" t="s">
        <v>8</v>
      </c>
      <c r="J51" s="19"/>
    </row>
    <row r="52" spans="6:10" ht="15">
      <c r="F52" s="8">
        <v>6</v>
      </c>
      <c r="G52" s="12" t="str">
        <f>CONCATENATE(B34," &lt;&lt;&lt;vs.&gt;&gt;&gt; ",B37)</f>
        <v>Frei_1 - Frei_21 &lt;&lt;&lt;vs.&gt;&gt;&gt; Frei_4 - Frei_24</v>
      </c>
      <c r="H52" s="18"/>
      <c r="I52" s="14" t="s">
        <v>8</v>
      </c>
      <c r="J52" s="19"/>
    </row>
    <row r="53" spans="6:10" ht="15">
      <c r="F53" s="8">
        <v>7</v>
      </c>
      <c r="G53" s="12" t="str">
        <f>CONCATENATE(B35," &lt;&lt;&lt;vs.&gt;&gt;&gt; ",B38)</f>
        <v>Frei_2 - Frei_22 &lt;&lt;&lt;vs.&gt;&gt;&gt; Frei_5 - Frei_25</v>
      </c>
      <c r="H53" s="18"/>
      <c r="I53" s="14" t="s">
        <v>8</v>
      </c>
      <c r="J53" s="19"/>
    </row>
    <row r="54" spans="6:10" ht="15">
      <c r="F54" s="8">
        <v>8</v>
      </c>
      <c r="G54" s="12" t="str">
        <f>CONCATENATE(B36," &lt;&lt;&lt;vs.&gt;&gt;&gt; ",B34)</f>
        <v>Frei_3 - Frei_23 &lt;&lt;&lt;vs.&gt;&gt;&gt; Frei_1 - Frei_21</v>
      </c>
      <c r="H54" s="18"/>
      <c r="I54" s="14" t="s">
        <v>8</v>
      </c>
      <c r="J54" s="19"/>
    </row>
    <row r="55" spans="6:10" ht="15">
      <c r="F55" s="8">
        <v>9</v>
      </c>
      <c r="G55" s="12" t="str">
        <f>CONCATENATE(B38," &lt;&lt;&lt;vs.&gt;&gt;&gt; ",B37)</f>
        <v>Frei_5 - Frei_25 &lt;&lt;&lt;vs.&gt;&gt;&gt; Frei_4 - Frei_24</v>
      </c>
      <c r="H55" s="18"/>
      <c r="I55" s="14" t="s">
        <v>8</v>
      </c>
      <c r="J55" s="19"/>
    </row>
    <row r="56" spans="6:10" ht="15">
      <c r="F56" s="8">
        <v>10</v>
      </c>
      <c r="G56" s="12" t="str">
        <f>CONCATENATE(B35," &lt;&lt;&lt;vs.&gt;&gt;&gt; ",B36)</f>
        <v>Frei_2 - Frei_22 &lt;&lt;&lt;vs.&gt;&gt;&gt; Frei_3 - Frei_23</v>
      </c>
      <c r="H56" s="18"/>
      <c r="I56" s="14" t="s">
        <v>8</v>
      </c>
      <c r="J56" s="19"/>
    </row>
    <row r="57" ht="15" hidden="1"/>
    <row r="58" ht="15" hidden="1"/>
    <row r="59" ht="15" hidden="1"/>
    <row r="60" ht="15" hidden="1"/>
    <row r="61" ht="15" hidden="1"/>
    <row r="63" ht="15.75" thickBot="1"/>
    <row r="64" spans="1:10" ht="24" thickBot="1">
      <c r="A64" s="56" t="s">
        <v>104</v>
      </c>
      <c r="B64" s="57"/>
      <c r="C64" s="57"/>
      <c r="D64" s="57"/>
      <c r="E64" s="57"/>
      <c r="F64" s="57"/>
      <c r="G64" s="57"/>
      <c r="H64" s="57"/>
      <c r="I64" s="57"/>
      <c r="J64" s="58"/>
    </row>
    <row r="66" ht="15" hidden="1"/>
    <row r="67" ht="15" hidden="1">
      <c r="A67" t="s">
        <v>129</v>
      </c>
    </row>
    <row r="68" ht="15" hidden="1">
      <c r="A68" t="s">
        <v>131</v>
      </c>
    </row>
    <row r="69" spans="1:3" ht="15" hidden="1">
      <c r="A69" t="s">
        <v>134</v>
      </c>
      <c r="C69" s="66">
        <f>ROUND(A50,0)</f>
        <v>1</v>
      </c>
    </row>
    <row r="70" spans="1:3" ht="15" hidden="1">
      <c r="A70" t="s">
        <v>135</v>
      </c>
      <c r="C70" s="66">
        <f>ROUND(A51,0)</f>
        <v>1</v>
      </c>
    </row>
    <row r="71" ht="15" hidden="1"/>
    <row r="72" ht="15" hidden="1">
      <c r="A72" t="s">
        <v>130</v>
      </c>
    </row>
    <row r="73" ht="15" hidden="1"/>
    <row r="75" spans="1:2" ht="15">
      <c r="A75" s="11" t="s">
        <v>46</v>
      </c>
      <c r="B75" s="11" t="s">
        <v>105</v>
      </c>
    </row>
    <row r="76" spans="1:2" ht="15">
      <c r="A76" s="9">
        <v>1</v>
      </c>
      <c r="B76" s="12" t="str">
        <f>B47</f>
        <v>Frei_1 - Frei_21</v>
      </c>
    </row>
    <row r="77" spans="1:2" ht="15">
      <c r="A77" s="9">
        <v>2</v>
      </c>
      <c r="B77" s="12" t="str">
        <f>B48</f>
        <v>Frei_2 - Frei_22</v>
      </c>
    </row>
    <row r="78" spans="1:2" ht="15">
      <c r="A78" s="9">
        <v>3</v>
      </c>
      <c r="B78" s="12" t="str">
        <f>B49</f>
        <v>Frei_3 - Frei_23</v>
      </c>
    </row>
    <row r="79" spans="1:2" ht="15">
      <c r="A79" s="9">
        <v>4</v>
      </c>
      <c r="B79" s="12" t="str">
        <f>B50</f>
        <v>Frei_4 - Frei_24</v>
      </c>
    </row>
    <row r="82" ht="21" customHeight="1" thickBot="1">
      <c r="A82" s="61" t="s">
        <v>169</v>
      </c>
    </row>
    <row r="83" spans="1:2" ht="15.75" thickBot="1">
      <c r="A83" s="133" t="str">
        <f>IF(C69=C70,"Achtung Team 4! 4. und 5. Platz Gruppe A sind gleich","")</f>
        <v>Achtung Team 4! 4. und 5. Platz Gruppe A sind gleich</v>
      </c>
      <c r="B83" s="134"/>
    </row>
  </sheetData>
  <sheetProtection password="BEE8" sheet="1" selectLockedCells="1"/>
  <mergeCells count="2">
    <mergeCell ref="A41:J41"/>
    <mergeCell ref="A83:B8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tabColor rgb="FF7030A0"/>
  </sheetPr>
  <dimension ref="B2:N27"/>
  <sheetViews>
    <sheetView showGridLines="0" zoomScalePageLayoutView="0" workbookViewId="0" topLeftCell="B1">
      <selection activeCell="E7" sqref="E7"/>
    </sheetView>
  </sheetViews>
  <sheetFormatPr defaultColWidth="11.421875" defaultRowHeight="15"/>
  <cols>
    <col min="2" max="2" width="13.7109375" style="0" bestFit="1" customWidth="1"/>
    <col min="3" max="3" width="40.421875" style="0" bestFit="1" customWidth="1"/>
    <col min="4" max="4" width="75.8515625" style="0" customWidth="1"/>
    <col min="5" max="5" width="3.28125" style="0" customWidth="1"/>
    <col min="6" max="6" width="2.00390625" style="0" customWidth="1"/>
    <col min="7" max="7" width="3.28125" style="0" customWidth="1"/>
    <col min="8" max="8" width="11.421875" style="0" customWidth="1"/>
    <col min="9" max="9" width="17.421875" style="0" hidden="1" customWidth="1"/>
    <col min="10" max="15" width="11.421875" style="0" hidden="1" customWidth="1"/>
  </cols>
  <sheetData>
    <row r="1" ht="15.75" thickBot="1"/>
    <row r="2" spans="2:13" ht="24" thickBot="1">
      <c r="B2" s="119" t="s">
        <v>142</v>
      </c>
      <c r="C2" s="120"/>
      <c r="D2" s="120"/>
      <c r="E2" s="120"/>
      <c r="F2" s="120"/>
      <c r="G2" s="121"/>
      <c r="M2" t="s">
        <v>53</v>
      </c>
    </row>
    <row r="4" spans="13:14" ht="15">
      <c r="M4" t="s">
        <v>54</v>
      </c>
      <c r="N4" t="s">
        <v>55</v>
      </c>
    </row>
    <row r="5" spans="2:14" ht="23.25">
      <c r="B5" s="21" t="s">
        <v>37</v>
      </c>
      <c r="C5" s="20"/>
      <c r="D5" s="21"/>
      <c r="E5" s="20"/>
      <c r="F5" s="21"/>
      <c r="G5" s="20"/>
      <c r="M5">
        <v>1</v>
      </c>
      <c r="N5">
        <f>J18</f>
      </c>
    </row>
    <row r="6" spans="2:14" ht="15">
      <c r="B6" s="11" t="s">
        <v>26</v>
      </c>
      <c r="C6" s="11"/>
      <c r="D6" s="10" t="s">
        <v>25</v>
      </c>
      <c r="E6" s="15" t="s">
        <v>7</v>
      </c>
      <c r="F6" s="16"/>
      <c r="G6" s="17"/>
      <c r="I6" t="s">
        <v>152</v>
      </c>
      <c r="J6" t="s">
        <v>41</v>
      </c>
      <c r="M6">
        <v>2</v>
      </c>
      <c r="N6">
        <f>I18</f>
      </c>
    </row>
    <row r="7" spans="2:14" ht="15">
      <c r="B7" s="8">
        <v>1</v>
      </c>
      <c r="C7" s="8" t="s">
        <v>153</v>
      </c>
      <c r="D7" s="12" t="str">
        <f>CONCATENATE(Vorrunde_1234!B47," &lt;&lt;&lt;vs.&gt;&gt;&gt; ",Vorrunde_1234!B50)</f>
        <v>Frei_1 - Frei_21 &lt;&lt;&lt;vs.&gt;&gt;&gt; Frei_4 - Frei_24</v>
      </c>
      <c r="E7" s="18"/>
      <c r="F7" s="14" t="s">
        <v>8</v>
      </c>
      <c r="G7" s="19"/>
      <c r="I7">
        <f>IF(E7=G7,"",IF(E7&gt;G7,Vorrunde_1234!B47,Vorrunde_1234!B50))</f>
      </c>
      <c r="J7">
        <f>IF(E7=G7,"",IF(E7&lt;G7,Vorrunde_1234!B47,Vorrunde_1234!B50))</f>
      </c>
      <c r="M7">
        <v>3</v>
      </c>
      <c r="N7">
        <f>I13</f>
      </c>
    </row>
    <row r="8" spans="2:14" ht="15">
      <c r="B8" s="8">
        <v>2</v>
      </c>
      <c r="C8" s="8" t="s">
        <v>137</v>
      </c>
      <c r="D8" s="12" t="str">
        <f>CONCATENATE(Vorrunde_1234!B48," &lt;&lt;&lt;vs.&gt;&gt;&gt; ",Vorrunde_1234!B49)</f>
        <v>Frei_2 - Frei_22 &lt;&lt;&lt;vs.&gt;&gt;&gt; Frei_3 - Frei_23</v>
      </c>
      <c r="E8" s="18"/>
      <c r="F8" s="14" t="s">
        <v>8</v>
      </c>
      <c r="G8" s="19"/>
      <c r="I8">
        <f>IF(E8=G8,"",IF(E8&gt;G8,Vorrunde_1234!B48,Vorrunde_1234!B49))</f>
      </c>
      <c r="J8">
        <f>IF(E8=G8,"",IF(E8&lt;G8,Vorrunde_1234!B48,Vorrunde_1234!B49))</f>
      </c>
      <c r="M8">
        <v>4</v>
      </c>
      <c r="N8">
        <f>J13</f>
      </c>
    </row>
    <row r="11" spans="2:7" ht="23.25">
      <c r="B11" s="21" t="s">
        <v>38</v>
      </c>
      <c r="C11" s="20"/>
      <c r="D11" s="21"/>
      <c r="E11" s="20"/>
      <c r="F11" s="21"/>
      <c r="G11" s="20"/>
    </row>
    <row r="12" spans="2:7" ht="15">
      <c r="B12" s="11" t="s">
        <v>26</v>
      </c>
      <c r="C12" s="11"/>
      <c r="D12" s="10" t="s">
        <v>25</v>
      </c>
      <c r="E12" s="15" t="s">
        <v>7</v>
      </c>
      <c r="F12" s="16"/>
      <c r="G12" s="17"/>
    </row>
    <row r="13" spans="2:10" ht="15">
      <c r="B13" s="8">
        <v>1</v>
      </c>
      <c r="C13" s="8" t="s">
        <v>44</v>
      </c>
      <c r="D13" s="12" t="str">
        <f>CONCATENATE(J7," &lt;&lt;&lt;vs.&gt;&gt;&gt; ",J8)</f>
        <v> &lt;&lt;&lt;vs.&gt;&gt;&gt; </v>
      </c>
      <c r="E13" s="18"/>
      <c r="F13" s="14" t="s">
        <v>8</v>
      </c>
      <c r="G13" s="19"/>
      <c r="I13">
        <f>IF(E13=G13,"",IF(E13&gt;G13,J7,J8))</f>
      </c>
      <c r="J13">
        <f>IF(E13=G13,"",IF(E13&lt;G13,J7,J8))</f>
      </c>
    </row>
    <row r="16" spans="2:7" ht="23.25">
      <c r="B16" s="21" t="s">
        <v>39</v>
      </c>
      <c r="C16" s="20"/>
      <c r="D16" s="21"/>
      <c r="E16" s="20"/>
      <c r="F16" s="21"/>
      <c r="G16" s="20"/>
    </row>
    <row r="17" spans="2:7" ht="15">
      <c r="B17" s="11" t="s">
        <v>26</v>
      </c>
      <c r="C17" s="11"/>
      <c r="D17" s="10" t="s">
        <v>25</v>
      </c>
      <c r="E17" s="15" t="s">
        <v>7</v>
      </c>
      <c r="F17" s="16"/>
      <c r="G17" s="17"/>
    </row>
    <row r="18" spans="2:10" ht="15">
      <c r="B18" s="8">
        <v>1</v>
      </c>
      <c r="C18" s="8" t="s">
        <v>45</v>
      </c>
      <c r="D18" s="12" t="str">
        <f>CONCATENATE(I7," &lt;&lt;&lt;vs.&gt;&gt;&gt; ",I8)</f>
        <v> &lt;&lt;&lt;vs.&gt;&gt;&gt; </v>
      </c>
      <c r="E18" s="18"/>
      <c r="F18" s="14" t="s">
        <v>8</v>
      </c>
      <c r="G18" s="19"/>
      <c r="I18">
        <f>IF(E18=G18,"",IF(E18&gt;G18,I8,I7))</f>
      </c>
      <c r="J18">
        <f>IF(E18=G18,"",IF(E18&lt;G18,I8,I7))</f>
      </c>
    </row>
    <row r="22" spans="2:7" ht="26.25">
      <c r="B22" s="128" t="s">
        <v>59</v>
      </c>
      <c r="C22" s="128"/>
      <c r="D22" s="128"/>
      <c r="E22" s="128"/>
      <c r="F22" s="128"/>
      <c r="G22" s="128"/>
    </row>
    <row r="23" spans="2:7" ht="32.25">
      <c r="B23" s="129" t="str">
        <f>CONCATENATE("Platz 1:"," ",J18,"")</f>
        <v>Platz 1: </v>
      </c>
      <c r="C23" s="129"/>
      <c r="D23" s="129"/>
      <c r="E23" s="129"/>
      <c r="F23" s="129"/>
      <c r="G23" s="129"/>
    </row>
    <row r="25" spans="2:7" ht="21">
      <c r="B25" s="51" t="s">
        <v>56</v>
      </c>
      <c r="C25" s="51">
        <f>N6</f>
      </c>
      <c r="D25" s="51"/>
      <c r="E25" s="51"/>
      <c r="F25" s="51"/>
      <c r="G25" s="51"/>
    </row>
    <row r="26" spans="2:7" ht="21">
      <c r="B26" s="51" t="s">
        <v>57</v>
      </c>
      <c r="C26" s="51">
        <f>N7</f>
      </c>
      <c r="D26" s="51"/>
      <c r="E26" s="51"/>
      <c r="F26" s="51"/>
      <c r="G26" s="51"/>
    </row>
    <row r="27" spans="2:7" ht="21">
      <c r="B27" s="51" t="s">
        <v>58</v>
      </c>
      <c r="C27" s="51">
        <f>N8</f>
      </c>
      <c r="D27" s="51"/>
      <c r="E27" s="51"/>
      <c r="F27" s="51"/>
      <c r="G27" s="51"/>
    </row>
  </sheetData>
  <sheetProtection password="BEE8" sheet="1" selectLockedCells="1"/>
  <mergeCells count="3">
    <mergeCell ref="B2:G2"/>
    <mergeCell ref="B22:G22"/>
    <mergeCell ref="B23:G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N250"/>
  <sheetViews>
    <sheetView showGridLines="0" zoomScalePageLayoutView="0" workbookViewId="0" topLeftCell="A40">
      <selection activeCell="H47" sqref="H47"/>
    </sheetView>
  </sheetViews>
  <sheetFormatPr defaultColWidth="11.421875" defaultRowHeight="15"/>
  <cols>
    <col min="1" max="1" width="7.28125" style="0" customWidth="1"/>
    <col min="2" max="2" width="39.28125" style="0" customWidth="1"/>
    <col min="3" max="3" width="9.140625" style="0" customWidth="1"/>
    <col min="4" max="5" width="10.7109375" style="0" customWidth="1"/>
    <col min="6" max="6" width="9.140625" style="0" customWidth="1"/>
    <col min="7" max="7" width="63.00390625" style="0" customWidth="1"/>
    <col min="8" max="8" width="3.28125" style="0" customWidth="1"/>
    <col min="9" max="9" width="2.00390625" style="0" customWidth="1"/>
    <col min="10" max="10" width="3.28125" style="0" customWidth="1"/>
    <col min="12" max="12" width="23.00390625" style="0" customWidth="1"/>
  </cols>
  <sheetData>
    <row r="1" ht="15" hidden="1">
      <c r="A1" s="23"/>
    </row>
    <row r="2" ht="15" hidden="1">
      <c r="A2" s="24"/>
    </row>
    <row r="3" ht="15" hidden="1">
      <c r="A3" s="24"/>
    </row>
    <row r="4" ht="15" hidden="1">
      <c r="A4" s="24"/>
    </row>
    <row r="5" ht="15" hidden="1">
      <c r="A5" s="24"/>
    </row>
    <row r="6" ht="15" hidden="1">
      <c r="A6" s="24"/>
    </row>
    <row r="7" ht="15" hidden="1">
      <c r="A7" s="24"/>
    </row>
    <row r="8" ht="15.75" hidden="1" thickBot="1">
      <c r="A8" s="25"/>
    </row>
    <row r="9" ht="15" hidden="1">
      <c r="A9" t="s">
        <v>20</v>
      </c>
    </row>
    <row r="10" spans="1:3" ht="15" hidden="1">
      <c r="A10" t="s">
        <v>102</v>
      </c>
      <c r="C10" t="s">
        <v>103</v>
      </c>
    </row>
    <row r="11" spans="1:4" ht="15" hidden="1">
      <c r="A11" s="4" t="s">
        <v>16</v>
      </c>
      <c r="B11" s="4" t="s">
        <v>17</v>
      </c>
      <c r="C11" s="4" t="s">
        <v>18</v>
      </c>
      <c r="D11" s="4" t="s">
        <v>19</v>
      </c>
    </row>
    <row r="12" spans="1:4" ht="15" hidden="1">
      <c r="A12" s="4">
        <f>RANK(C34,C34:C38,0)</f>
        <v>1</v>
      </c>
      <c r="B12" s="4">
        <f>RANK(D34,D34:D38,0)</f>
        <v>1</v>
      </c>
      <c r="C12" s="4">
        <f>A12+(B12/10)</f>
        <v>1.1</v>
      </c>
      <c r="D12" s="7">
        <f>IF(C12="","",RANK(C12,C12:C16,1)+ROW($A$1)%%)</f>
        <v>1.0001</v>
      </c>
    </row>
    <row r="13" spans="1:4" ht="15" hidden="1">
      <c r="A13" s="4">
        <f>RANK(C35,C34:C38,0)</f>
        <v>1</v>
      </c>
      <c r="B13" s="4">
        <f>RANK(D35,D34:D38,0)</f>
        <v>1</v>
      </c>
      <c r="C13" s="4">
        <f>A13+(B13/10)</f>
        <v>1.1</v>
      </c>
      <c r="D13" s="7">
        <f>IF(C13="","",RANK(C13,C12:C16,1)+ROW($A$2)%%)</f>
        <v>1.0002</v>
      </c>
    </row>
    <row r="14" spans="1:4" ht="15" hidden="1">
      <c r="A14" s="4">
        <f>RANK(C36,C34:C38,0)</f>
        <v>1</v>
      </c>
      <c r="B14" s="4">
        <f>RANK(D36,D34:D38,0)</f>
        <v>1</v>
      </c>
      <c r="C14" s="4">
        <f>A14+(B14/10)</f>
        <v>1.1</v>
      </c>
      <c r="D14" s="7">
        <f>IF(C14="","",RANK(C14,C12:C16,1)+ROW($A$3)%%)</f>
        <v>1.0003</v>
      </c>
    </row>
    <row r="15" spans="1:4" ht="15" hidden="1">
      <c r="A15" s="4">
        <f>RANK(C37,C34:C38,0)</f>
        <v>1</v>
      </c>
      <c r="B15" s="4">
        <f>RANK(D37,D34:D38,0)</f>
        <v>1</v>
      </c>
      <c r="C15" s="4">
        <f>A15+(B15/10)</f>
        <v>1.1</v>
      </c>
      <c r="D15" s="7">
        <f>IF(C15="","",RANK(C15,C12:C16,1)+ROW($A$4)%%)</f>
        <v>1.0004</v>
      </c>
    </row>
    <row r="16" spans="1:4" ht="15" hidden="1">
      <c r="A16" s="4">
        <f>RANK(C38,C34:C38,0)</f>
        <v>1</v>
      </c>
      <c r="B16" s="4">
        <f>RANK(D38,D34:D38,0)</f>
        <v>1</v>
      </c>
      <c r="C16" s="4">
        <f>A16+(B16/10)</f>
        <v>1.1</v>
      </c>
      <c r="D16" s="7">
        <f>IF(C16="","",RANK(C16,C12:C16,1)+ROW($A$5)%%)</f>
        <v>1.0005</v>
      </c>
    </row>
    <row r="17" ht="15" hidden="1"/>
    <row r="18" ht="15" hidden="1"/>
    <row r="19" spans="1:3" ht="15" hidden="1">
      <c r="A19" s="3" t="s">
        <v>23</v>
      </c>
      <c r="B19" s="3"/>
      <c r="C19" t="s">
        <v>26</v>
      </c>
    </row>
    <row r="20" spans="1:3" ht="15" hidden="1">
      <c r="A20" s="3">
        <f>IF(H47&gt;J47,Spielernamen_Einstellungen!$B$23,0)</f>
        <v>0</v>
      </c>
      <c r="B20" s="3">
        <f>IF(J47&gt;H47,Spielernamen_Einstellungen!$B$23,0)</f>
        <v>0</v>
      </c>
      <c r="C20">
        <v>1</v>
      </c>
    </row>
    <row r="21" spans="1:3" ht="15" hidden="1">
      <c r="A21" s="3">
        <f>IF(H48&gt;J48,Spielernamen_Einstellungen!$B$23,0)</f>
        <v>0</v>
      </c>
      <c r="B21" s="3">
        <f>IF(J48&gt;H48,Spielernamen_Einstellungen!$B$23,0)</f>
        <v>0</v>
      </c>
      <c r="C21">
        <v>2</v>
      </c>
    </row>
    <row r="22" spans="1:3" ht="15" hidden="1">
      <c r="A22" s="3">
        <f>IF(H49&gt;J49,Spielernamen_Einstellungen!$B$23,0)</f>
        <v>0</v>
      </c>
      <c r="B22" s="3">
        <f>IF(J49&gt;H49,Spielernamen_Einstellungen!$B$23,0)</f>
        <v>0</v>
      </c>
      <c r="C22">
        <v>3</v>
      </c>
    </row>
    <row r="23" spans="1:3" ht="15" hidden="1">
      <c r="A23" s="3">
        <f>IF(H50&gt;J50,Spielernamen_Einstellungen!$B$23,0)</f>
        <v>0</v>
      </c>
      <c r="B23" s="3">
        <f>IF(J50&gt;H50,Spielernamen_Einstellungen!$B$23,0)</f>
        <v>0</v>
      </c>
      <c r="C23">
        <v>4</v>
      </c>
    </row>
    <row r="24" spans="1:3" ht="15" hidden="1">
      <c r="A24" s="3">
        <f>IF(H51&gt;J51,Spielernamen_Einstellungen!$B$23,0)</f>
        <v>0</v>
      </c>
      <c r="B24" s="3">
        <f>IF(J51&gt;H51,Spielernamen_Einstellungen!$B$23,0)</f>
        <v>0</v>
      </c>
      <c r="C24">
        <v>5</v>
      </c>
    </row>
    <row r="25" spans="1:3" ht="15" hidden="1">
      <c r="A25" s="3">
        <f>IF(H52&gt;J52,Spielernamen_Einstellungen!$B$23,0)</f>
        <v>0</v>
      </c>
      <c r="B25" s="3">
        <f>IF(J52&gt;H52,Spielernamen_Einstellungen!$B$23,0)</f>
        <v>0</v>
      </c>
      <c r="C25">
        <v>6</v>
      </c>
    </row>
    <row r="26" spans="1:3" ht="15" hidden="1">
      <c r="A26" s="3">
        <f>IF(H53&gt;J53,Spielernamen_Einstellungen!$B$23,0)</f>
        <v>0</v>
      </c>
      <c r="B26" s="3">
        <f>IF(J53&gt;H53,Spielernamen_Einstellungen!$B$23,0)</f>
        <v>0</v>
      </c>
      <c r="C26">
        <v>7</v>
      </c>
    </row>
    <row r="27" spans="1:3" ht="15" hidden="1">
      <c r="A27" s="3">
        <f>IF(H54&gt;J54,Spielernamen_Einstellungen!$B$23,0)</f>
        <v>0</v>
      </c>
      <c r="B27" s="3">
        <f>IF(J54&gt;H54,Spielernamen_Einstellungen!$B$23,0)</f>
        <v>0</v>
      </c>
      <c r="C27">
        <v>8</v>
      </c>
    </row>
    <row r="28" spans="1:3" ht="15" hidden="1">
      <c r="A28" s="3">
        <f>IF(H55&gt;J55,Spielernamen_Einstellungen!$B$23,0)</f>
        <v>0</v>
      </c>
      <c r="B28" s="3">
        <f>IF(J55&gt;H55,Spielernamen_Einstellungen!$B$23,0)</f>
        <v>0</v>
      </c>
      <c r="C28">
        <v>9</v>
      </c>
    </row>
    <row r="29" spans="1:3" ht="15" hidden="1">
      <c r="A29" s="3">
        <f>IF(H56&gt;J56,Spielernamen_Einstellungen!$B$23,0)</f>
        <v>0</v>
      </c>
      <c r="B29" s="3">
        <f>IF(J56&gt;H56,Spielernamen_Einstellungen!$B$23,0)</f>
        <v>0</v>
      </c>
      <c r="C29">
        <v>10</v>
      </c>
    </row>
    <row r="30" ht="15" hidden="1"/>
    <row r="31" ht="15" hidden="1"/>
    <row r="32" spans="1:4" ht="15" hidden="1">
      <c r="A32" s="5"/>
      <c r="B32" s="22" t="s">
        <v>27</v>
      </c>
      <c r="C32" s="5"/>
      <c r="D32" s="5"/>
    </row>
    <row r="33" spans="1:4" ht="15" hidden="1">
      <c r="A33" s="5" t="s">
        <v>15</v>
      </c>
      <c r="B33" s="5"/>
      <c r="C33" s="5" t="s">
        <v>6</v>
      </c>
      <c r="D33" s="5" t="s">
        <v>9</v>
      </c>
    </row>
    <row r="34" spans="1:4" ht="15" hidden="1">
      <c r="A34" s="6">
        <f>D12</f>
        <v>1.0001</v>
      </c>
      <c r="B34" s="5" t="str">
        <f>Spielernamen_Einstellungen!I44</f>
        <v>Frei_1 - Frei_21</v>
      </c>
      <c r="C34" s="6">
        <f>A20+A22+A25+B27</f>
        <v>0</v>
      </c>
      <c r="D34" s="5">
        <f>H47+H49+H52-J47-J49-J52+J54-H54</f>
        <v>0</v>
      </c>
    </row>
    <row r="35" spans="1:4" ht="15" hidden="1">
      <c r="A35" s="6">
        <f>D13</f>
        <v>1.0002</v>
      </c>
      <c r="B35" s="5" t="str">
        <f>Spielernamen_Einstellungen!I45</f>
        <v>Frei_2 - Frei_22</v>
      </c>
      <c r="C35" s="5">
        <f>B20+A23+A26+A29</f>
        <v>0</v>
      </c>
      <c r="D35" s="5">
        <f>J47-H47+H50-J50+H53-J53+H56-J56</f>
        <v>0</v>
      </c>
    </row>
    <row r="36" spans="1:4" ht="15" hidden="1">
      <c r="A36" s="6">
        <f>D14</f>
        <v>1.0003</v>
      </c>
      <c r="B36" s="5" t="str">
        <f>Spielernamen_Einstellungen!I46</f>
        <v>Frei_3 - Frei_23</v>
      </c>
      <c r="C36" s="5">
        <f>A21+A24+A27+B29</f>
        <v>0</v>
      </c>
      <c r="D36" s="5">
        <f>H48-J48+H51-J51+H54-J54+J56-H56</f>
        <v>0</v>
      </c>
    </row>
    <row r="37" spans="1:4" ht="15" hidden="1">
      <c r="A37" s="6">
        <f>D15</f>
        <v>1.0004</v>
      </c>
      <c r="B37" s="5" t="str">
        <f>Spielernamen_Einstellungen!I47</f>
        <v>Frei_4 - Frei_24</v>
      </c>
      <c r="C37" s="5">
        <f>B21+B23+B25+B28</f>
        <v>0</v>
      </c>
      <c r="D37" s="5">
        <f>J48-H48+J50-H50+J52-H52+J55-H55</f>
        <v>0</v>
      </c>
    </row>
    <row r="38" spans="1:4" ht="15" hidden="1">
      <c r="A38" s="6">
        <f>D16</f>
        <v>1.0005</v>
      </c>
      <c r="B38" s="5" t="str">
        <f>Spielernamen_Einstellungen!I48</f>
        <v>Frei_5 - Frei_25</v>
      </c>
      <c r="C38" s="5">
        <f>B22+B24+B26+A28</f>
        <v>0</v>
      </c>
      <c r="D38" s="5">
        <f>J49-H49+J51-H51+J53-H53+H55-J55</f>
        <v>0</v>
      </c>
    </row>
    <row r="39" ht="15" hidden="1">
      <c r="A39" t="s">
        <v>21</v>
      </c>
    </row>
    <row r="40" ht="15.75" thickBot="1"/>
    <row r="41" spans="1:10" ht="24.75" customHeight="1" thickBot="1">
      <c r="A41" s="119" t="s">
        <v>125</v>
      </c>
      <c r="B41" s="120"/>
      <c r="C41" s="120"/>
      <c r="D41" s="120"/>
      <c r="E41" s="120"/>
      <c r="F41" s="120"/>
      <c r="G41" s="120"/>
      <c r="H41" s="120"/>
      <c r="I41" s="120"/>
      <c r="J41" s="121"/>
    </row>
    <row r="44" spans="1:10" ht="23.25">
      <c r="A44" s="21" t="s">
        <v>4</v>
      </c>
      <c r="B44" s="20"/>
      <c r="C44" s="20"/>
      <c r="D44" s="20"/>
      <c r="E44" s="20"/>
      <c r="F44" s="20"/>
      <c r="G44" s="20"/>
      <c r="H44" s="20"/>
      <c r="I44" s="20"/>
      <c r="J44" s="20"/>
    </row>
    <row r="46" spans="1:10" ht="15">
      <c r="A46" s="11" t="s">
        <v>24</v>
      </c>
      <c r="B46" s="11" t="s">
        <v>22</v>
      </c>
      <c r="C46" s="11" t="s">
        <v>6</v>
      </c>
      <c r="D46" s="11" t="s">
        <v>9</v>
      </c>
      <c r="F46" s="11" t="s">
        <v>26</v>
      </c>
      <c r="G46" s="10" t="s">
        <v>25</v>
      </c>
      <c r="H46" s="15" t="s">
        <v>7</v>
      </c>
      <c r="I46" s="16"/>
      <c r="J46" s="17"/>
    </row>
    <row r="47" spans="1:10" ht="15">
      <c r="A47" s="9">
        <f>IF(ROW($A$1)&gt;COUNT(D12:D16),"",SMALL(D12:D16,ROW($A$1)))</f>
        <v>1.0001</v>
      </c>
      <c r="B47" s="12" t="str">
        <f>IF($A47="","",INDEX(B34:B38,MATCH($A47,$A34:A38,0)))</f>
        <v>Frei_1 - Frei_21</v>
      </c>
      <c r="C47" s="13">
        <f>VLOOKUP(B47,B34:D38,2,FALSE)</f>
        <v>0</v>
      </c>
      <c r="D47" s="13">
        <f>VLOOKUP(B47,B34:D38,3,FALSE)</f>
        <v>0</v>
      </c>
      <c r="F47" s="8">
        <v>1</v>
      </c>
      <c r="G47" s="12" t="str">
        <f>CONCATENATE(B34," &lt;&lt;&lt;vs.&gt;&gt;&gt; ",B35)</f>
        <v>Frei_1 - Frei_21 &lt;&lt;&lt;vs.&gt;&gt;&gt; Frei_2 - Frei_22</v>
      </c>
      <c r="H47" s="18"/>
      <c r="I47" s="14" t="s">
        <v>8</v>
      </c>
      <c r="J47" s="19"/>
    </row>
    <row r="48" spans="1:10" ht="15">
      <c r="A48" s="9">
        <f>IF(ROW($A$2)&gt;COUNT(D12:D16),"",SMALL(D12:D16,ROW($A$2)))</f>
        <v>1.0002</v>
      </c>
      <c r="B48" s="12" t="str">
        <f>IF($A48="","",INDEX(B34:B38,MATCH($A48,$A34:A38,0)))</f>
        <v>Frei_2 - Frei_22</v>
      </c>
      <c r="C48" s="13">
        <f>VLOOKUP(B48,B34:D38,2,FALSE)</f>
        <v>0</v>
      </c>
      <c r="D48" s="13">
        <f>VLOOKUP(B48,B34:D38,3,FALSE)</f>
        <v>0</v>
      </c>
      <c r="F48" s="8">
        <v>2</v>
      </c>
      <c r="G48" s="12" t="str">
        <f>CONCATENATE(B36," &lt;&lt;&lt;vs.&gt;&gt;&gt; ",B37)</f>
        <v>Frei_3 - Frei_23 &lt;&lt;&lt;vs.&gt;&gt;&gt; Frei_4 - Frei_24</v>
      </c>
      <c r="H48" s="18"/>
      <c r="I48" s="14" t="s">
        <v>8</v>
      </c>
      <c r="J48" s="19"/>
    </row>
    <row r="49" spans="1:10" ht="15">
      <c r="A49" s="9">
        <f>IF(ROW($A$3)&gt;COUNT(D12:D16),"",SMALL(D12:D16,ROW($A$3)))</f>
        <v>1.0003</v>
      </c>
      <c r="B49" s="12" t="str">
        <f>IF($A49="","",INDEX(B34:B38,MATCH($A49,$A34:A38,0)))</f>
        <v>Frei_3 - Frei_23</v>
      </c>
      <c r="C49" s="13">
        <f>VLOOKUP(B49,B34:D38,2,FALSE)</f>
        <v>0</v>
      </c>
      <c r="D49" s="13">
        <f>VLOOKUP(B49,B34:D38,3,FALSE)</f>
        <v>0</v>
      </c>
      <c r="F49" s="8">
        <v>3</v>
      </c>
      <c r="G49" s="12" t="str">
        <f>CONCATENATE(B34," &lt;&lt;&lt;vs.&gt;&gt;&gt; ",B38)</f>
        <v>Frei_1 - Frei_21 &lt;&lt;&lt;vs.&gt;&gt;&gt; Frei_5 - Frei_25</v>
      </c>
      <c r="H49" s="18"/>
      <c r="I49" s="14" t="s">
        <v>8</v>
      </c>
      <c r="J49" s="19"/>
    </row>
    <row r="50" spans="1:10" ht="15">
      <c r="A50" s="9">
        <f>IF(ROW($A$4)&gt;COUNT(D12:D16),"",SMALL(D12:D16,ROW($A$4)))</f>
        <v>1.0004</v>
      </c>
      <c r="B50" s="12" t="str">
        <f>IF($A50="","",INDEX(B34:B38,MATCH($A50,$A34:A38,0)))</f>
        <v>Frei_4 - Frei_24</v>
      </c>
      <c r="C50" s="13">
        <f>VLOOKUP(B50,B34:D38,2,FALSE)</f>
        <v>0</v>
      </c>
      <c r="D50" s="13">
        <f>VLOOKUP(B50,B34:D38,3,FALSE)</f>
        <v>0</v>
      </c>
      <c r="F50" s="8">
        <v>4</v>
      </c>
      <c r="G50" s="12" t="str">
        <f>CONCATENATE(B35," &lt;&lt;&lt;vs.&gt;&gt;&gt; ",B37)</f>
        <v>Frei_2 - Frei_22 &lt;&lt;&lt;vs.&gt;&gt;&gt; Frei_4 - Frei_24</v>
      </c>
      <c r="H50" s="18"/>
      <c r="I50" s="14" t="s">
        <v>8</v>
      </c>
      <c r="J50" s="19"/>
    </row>
    <row r="51" spans="1:10" ht="15">
      <c r="A51" s="9">
        <f>IF(ROW($A$5)&gt;COUNT(D12:D16),"",SMALL(D12:D16,ROW($A$5)))</f>
        <v>1.0005</v>
      </c>
      <c r="B51" s="12" t="str">
        <f>IF($A51="","",INDEX(B34:B38,MATCH($A51,$A34:A38,0)))</f>
        <v>Frei_5 - Frei_25</v>
      </c>
      <c r="C51" s="13">
        <f>VLOOKUP(B51,B34:D38,2,FALSE)</f>
        <v>0</v>
      </c>
      <c r="D51" s="13">
        <f>VLOOKUP(B51,B34:D38,3,FALSE)</f>
        <v>0</v>
      </c>
      <c r="F51" s="8">
        <v>5</v>
      </c>
      <c r="G51" s="12" t="str">
        <f>CONCATENATE(B36," &lt;&lt;&lt;vs.&gt;&gt;&gt; ",B38)</f>
        <v>Frei_3 - Frei_23 &lt;&lt;&lt;vs.&gt;&gt;&gt; Frei_5 - Frei_25</v>
      </c>
      <c r="H51" s="18"/>
      <c r="I51" s="14" t="s">
        <v>8</v>
      </c>
      <c r="J51" s="19"/>
    </row>
    <row r="52" spans="6:10" ht="15">
      <c r="F52" s="8">
        <v>6</v>
      </c>
      <c r="G52" s="12" t="str">
        <f>CONCATENATE(B34," &lt;&lt;&lt;vs.&gt;&gt;&gt; ",B37)</f>
        <v>Frei_1 - Frei_21 &lt;&lt;&lt;vs.&gt;&gt;&gt; Frei_4 - Frei_24</v>
      </c>
      <c r="H52" s="18"/>
      <c r="I52" s="14" t="s">
        <v>8</v>
      </c>
      <c r="J52" s="19"/>
    </row>
    <row r="53" spans="6:10" ht="15">
      <c r="F53" s="8">
        <v>7</v>
      </c>
      <c r="G53" s="12" t="str">
        <f>CONCATENATE(B35," &lt;&lt;&lt;vs.&gt;&gt;&gt; ",B38)</f>
        <v>Frei_2 - Frei_22 &lt;&lt;&lt;vs.&gt;&gt;&gt; Frei_5 - Frei_25</v>
      </c>
      <c r="H53" s="18"/>
      <c r="I53" s="14" t="s">
        <v>8</v>
      </c>
      <c r="J53" s="19"/>
    </row>
    <row r="54" spans="6:10" ht="15">
      <c r="F54" s="8">
        <v>8</v>
      </c>
      <c r="G54" s="12" t="str">
        <f>CONCATENATE(B36," &lt;&lt;&lt;vs.&gt;&gt;&gt; ",B34)</f>
        <v>Frei_3 - Frei_23 &lt;&lt;&lt;vs.&gt;&gt;&gt; Frei_1 - Frei_21</v>
      </c>
      <c r="H54" s="18"/>
      <c r="I54" s="14" t="s">
        <v>8</v>
      </c>
      <c r="J54" s="19"/>
    </row>
    <row r="55" spans="6:10" ht="15">
      <c r="F55" s="8">
        <v>9</v>
      </c>
      <c r="G55" s="12" t="str">
        <f>CONCATENATE(B38," &lt;&lt;&lt;vs.&gt;&gt;&gt; ",B37)</f>
        <v>Frei_5 - Frei_25 &lt;&lt;&lt;vs.&gt;&gt;&gt; Frei_4 - Frei_24</v>
      </c>
      <c r="H55" s="18"/>
      <c r="I55" s="14" t="s">
        <v>8</v>
      </c>
      <c r="J55" s="19"/>
    </row>
    <row r="56" spans="6:10" ht="15">
      <c r="F56" s="8">
        <v>10</v>
      </c>
      <c r="G56" s="12" t="str">
        <f>CONCATENATE(B35," &lt;&lt;&lt;vs.&gt;&gt;&gt; ",B36)</f>
        <v>Frei_2 - Frei_22 &lt;&lt;&lt;vs.&gt;&gt;&gt; Frei_3 - Frei_23</v>
      </c>
      <c r="H56" s="18"/>
      <c r="I56" s="14" t="s">
        <v>8</v>
      </c>
      <c r="J56" s="19"/>
    </row>
    <row r="59" ht="15" hidden="1"/>
    <row r="60" ht="15" hidden="1"/>
    <row r="61" ht="15" hidden="1">
      <c r="A61" t="s">
        <v>20</v>
      </c>
    </row>
    <row r="62" spans="1:3" ht="15" hidden="1">
      <c r="A62" t="s">
        <v>102</v>
      </c>
      <c r="C62" t="s">
        <v>103</v>
      </c>
    </row>
    <row r="63" spans="1:4" ht="15" hidden="1">
      <c r="A63" s="4" t="s">
        <v>16</v>
      </c>
      <c r="B63" s="4" t="s">
        <v>17</v>
      </c>
      <c r="C63" s="4" t="s">
        <v>18</v>
      </c>
      <c r="D63" s="4" t="s">
        <v>19</v>
      </c>
    </row>
    <row r="64" spans="1:4" ht="15" hidden="1">
      <c r="A64" s="4">
        <f>RANK(C86,C86:C90,0)</f>
        <v>1</v>
      </c>
      <c r="B64" s="4">
        <f>RANK(D86,D86:D90,0)</f>
        <v>1</v>
      </c>
      <c r="C64" s="4">
        <f>A64+(B64/10)</f>
        <v>1.1</v>
      </c>
      <c r="D64" s="7">
        <f>IF(C64="","",RANK(C64,C64:C68,1)+ROW($A$1)%%)</f>
        <v>1.0001</v>
      </c>
    </row>
    <row r="65" spans="1:4" ht="15" hidden="1">
      <c r="A65" s="4">
        <f>RANK(C87,C86:C90,0)</f>
        <v>1</v>
      </c>
      <c r="B65" s="4">
        <f>RANK(D87,D86:D90,0)</f>
        <v>1</v>
      </c>
      <c r="C65" s="4">
        <f>A65+(B65/10)</f>
        <v>1.1</v>
      </c>
      <c r="D65" s="7">
        <f>IF(C65="","",RANK(C65,C64:C68,1)+ROW($A$2)%%)</f>
        <v>1.0002</v>
      </c>
    </row>
    <row r="66" spans="1:4" ht="15" hidden="1">
      <c r="A66" s="4">
        <f>RANK(C88,C86:C90,0)</f>
        <v>1</v>
      </c>
      <c r="B66" s="4">
        <f>RANK(D88,D86:D90,0)</f>
        <v>1</v>
      </c>
      <c r="C66" s="4">
        <f>A66+(B66/10)</f>
        <v>1.1</v>
      </c>
      <c r="D66" s="7">
        <f>IF(C66="","",RANK(C66,C64:C68,1)+ROW($A$3)%%)</f>
        <v>1.0003</v>
      </c>
    </row>
    <row r="67" spans="1:4" ht="15" hidden="1">
      <c r="A67" s="4">
        <f>RANK(C89,C86:C90,0)</f>
        <v>1</v>
      </c>
      <c r="B67" s="4">
        <f>RANK(D89,D86:D90,0)</f>
        <v>1</v>
      </c>
      <c r="C67" s="4">
        <f>A67+(B67/10)</f>
        <v>1.1</v>
      </c>
      <c r="D67" s="7">
        <f>IF(C67="","",RANK(C67,C64:C68,1)+ROW($A$4)%%)</f>
        <v>1.0004</v>
      </c>
    </row>
    <row r="68" spans="1:4" ht="15" hidden="1">
      <c r="A68" s="4">
        <f>RANK(C90,C86:C90,0)</f>
        <v>1</v>
      </c>
      <c r="B68" s="4">
        <f>RANK(D90,D86:D90,0)</f>
        <v>1</v>
      </c>
      <c r="C68" s="4">
        <f>A68+(B68/10)</f>
        <v>1.1</v>
      </c>
      <c r="D68" s="7">
        <f>IF(C68="","",RANK(C68,C64:C68,1)+ROW($A$5)%%)</f>
        <v>1.0005</v>
      </c>
    </row>
    <row r="69" ht="15" hidden="1"/>
    <row r="70" ht="15" hidden="1"/>
    <row r="71" spans="1:3" ht="15" hidden="1">
      <c r="A71" s="3" t="s">
        <v>23</v>
      </c>
      <c r="B71" s="3"/>
      <c r="C71" t="s">
        <v>26</v>
      </c>
    </row>
    <row r="72" spans="1:3" ht="15" hidden="1">
      <c r="A72" s="3">
        <f>IF(H98&gt;J98,Spielernamen_Einstellungen!$B$23,0)</f>
        <v>0</v>
      </c>
      <c r="B72" s="3">
        <f>IF(J98&gt;H98,Spielernamen_Einstellungen!$B$23,0)</f>
        <v>0</v>
      </c>
      <c r="C72">
        <v>1</v>
      </c>
    </row>
    <row r="73" spans="1:3" ht="15" hidden="1">
      <c r="A73" s="3">
        <f>IF(H99&gt;J99,Spielernamen_Einstellungen!$B$23,0)</f>
        <v>0</v>
      </c>
      <c r="B73" s="3">
        <f>IF(J99&gt;H99,Spielernamen_Einstellungen!$B$23,0)</f>
        <v>0</v>
      </c>
      <c r="C73">
        <v>2</v>
      </c>
    </row>
    <row r="74" spans="1:3" ht="15" hidden="1">
      <c r="A74" s="3">
        <f>IF(H100&gt;J100,Spielernamen_Einstellungen!$B$23,0)</f>
        <v>0</v>
      </c>
      <c r="B74" s="3">
        <f>IF(J100&gt;H100,Spielernamen_Einstellungen!$B$23,0)</f>
        <v>0</v>
      </c>
      <c r="C74">
        <v>3</v>
      </c>
    </row>
    <row r="75" spans="1:3" ht="15" hidden="1">
      <c r="A75" s="3">
        <f>IF(H101&gt;J101,Spielernamen_Einstellungen!$B$23,0)</f>
        <v>0</v>
      </c>
      <c r="B75" s="3">
        <f>IF(J101&gt;H101,Spielernamen_Einstellungen!$B$23,0)</f>
        <v>0</v>
      </c>
      <c r="C75">
        <v>4</v>
      </c>
    </row>
    <row r="76" spans="1:3" ht="15" hidden="1">
      <c r="A76" s="3">
        <f>IF(H102&gt;J102,Spielernamen_Einstellungen!$B$23,0)</f>
        <v>0</v>
      </c>
      <c r="B76" s="3">
        <f>IF(J102&gt;H102,Spielernamen_Einstellungen!$B$23,0)</f>
        <v>0</v>
      </c>
      <c r="C76">
        <v>5</v>
      </c>
    </row>
    <row r="77" spans="1:3" ht="15" hidden="1">
      <c r="A77" s="3">
        <f>IF(H103&gt;J103,Spielernamen_Einstellungen!$B$23,0)</f>
        <v>0</v>
      </c>
      <c r="B77" s="3">
        <f>IF(J103&gt;H103,Spielernamen_Einstellungen!$B$23,0)</f>
        <v>0</v>
      </c>
      <c r="C77">
        <v>6</v>
      </c>
    </row>
    <row r="78" spans="1:3" ht="15" hidden="1">
      <c r="A78" s="3">
        <f>IF(H104&gt;J104,Spielernamen_Einstellungen!$B$23,0)</f>
        <v>0</v>
      </c>
      <c r="B78" s="3">
        <f>IF(J104&gt;H104,Spielernamen_Einstellungen!$B$23,0)</f>
        <v>0</v>
      </c>
      <c r="C78">
        <v>7</v>
      </c>
    </row>
    <row r="79" spans="1:3" ht="15" hidden="1">
      <c r="A79" s="3">
        <f>IF(H105&gt;J105,Spielernamen_Einstellungen!$B$23,0)</f>
        <v>0</v>
      </c>
      <c r="B79" s="3">
        <f>IF(J105&gt;H105,Spielernamen_Einstellungen!$B$23,0)</f>
        <v>0</v>
      </c>
      <c r="C79">
        <v>8</v>
      </c>
    </row>
    <row r="80" spans="1:3" ht="15" hidden="1">
      <c r="A80" s="3">
        <f>IF(H106&gt;J106,Spielernamen_Einstellungen!$B$23,0)</f>
        <v>0</v>
      </c>
      <c r="B80" s="3">
        <f>IF(J106&gt;H106,Spielernamen_Einstellungen!$B$23,0)</f>
        <v>0</v>
      </c>
      <c r="C80">
        <v>9</v>
      </c>
    </row>
    <row r="81" spans="1:3" ht="15" hidden="1">
      <c r="A81" s="3">
        <f>IF(H107&gt;J107,Spielernamen_Einstellungen!$B$23,0)</f>
        <v>0</v>
      </c>
      <c r="B81" s="3">
        <f>IF(J107&gt;H107,Spielernamen_Einstellungen!$B$23,0)</f>
        <v>0</v>
      </c>
      <c r="C81">
        <v>10</v>
      </c>
    </row>
    <row r="82" ht="15" hidden="1"/>
    <row r="83" ht="15" hidden="1"/>
    <row r="84" spans="1:4" ht="15" hidden="1">
      <c r="A84" s="5"/>
      <c r="B84" s="22" t="s">
        <v>27</v>
      </c>
      <c r="C84" s="5"/>
      <c r="D84" s="5"/>
    </row>
    <row r="85" spans="1:4" ht="15" hidden="1">
      <c r="A85" s="5" t="s">
        <v>15</v>
      </c>
      <c r="B85" s="5"/>
      <c r="C85" s="5" t="s">
        <v>6</v>
      </c>
      <c r="D85" s="5" t="s">
        <v>9</v>
      </c>
    </row>
    <row r="86" spans="1:4" ht="15" hidden="1">
      <c r="A86" s="6">
        <f>D64</f>
        <v>1.0001</v>
      </c>
      <c r="B86" s="5" t="str">
        <f>Spielernamen_Einstellungen!J44</f>
        <v>Frei_6 - Frei_26</v>
      </c>
      <c r="C86" s="6">
        <f>A72+A74+A77+B79</f>
        <v>0</v>
      </c>
      <c r="D86" s="5">
        <f>H98+H100+H103-J98-J100-J103+J105-H105</f>
        <v>0</v>
      </c>
    </row>
    <row r="87" spans="1:4" ht="15" hidden="1">
      <c r="A87" s="6">
        <f>D65</f>
        <v>1.0002</v>
      </c>
      <c r="B87" s="5" t="str">
        <f>Spielernamen_Einstellungen!J45</f>
        <v>Frei_7 - Frei_27</v>
      </c>
      <c r="C87" s="5">
        <f>B72+A75+A78+A81</f>
        <v>0</v>
      </c>
      <c r="D87" s="5">
        <f>J98-H98+H101-J101+H104-J104+H107-J107</f>
        <v>0</v>
      </c>
    </row>
    <row r="88" spans="1:4" ht="15" hidden="1">
      <c r="A88" s="6">
        <f>D66</f>
        <v>1.0003</v>
      </c>
      <c r="B88" s="5" t="str">
        <f>Spielernamen_Einstellungen!J46</f>
        <v>Frei_8 - Frei_28</v>
      </c>
      <c r="C88" s="5">
        <f>A73+A76+A79+B81</f>
        <v>0</v>
      </c>
      <c r="D88" s="5">
        <f>H99-J99+H102-J102+H105-J105+J107-H107</f>
        <v>0</v>
      </c>
    </row>
    <row r="89" spans="1:4" ht="15" hidden="1">
      <c r="A89" s="6">
        <f>D67</f>
        <v>1.0004</v>
      </c>
      <c r="B89" s="5" t="str">
        <f>Spielernamen_Einstellungen!J47</f>
        <v>Frei_9 - Frei_29</v>
      </c>
      <c r="C89" s="5">
        <f>B73+B75+B77+B80</f>
        <v>0</v>
      </c>
      <c r="D89" s="5">
        <f>J99-H99+J101-H101+J103-H103+J106-H106</f>
        <v>0</v>
      </c>
    </row>
    <row r="90" spans="1:4" ht="15" hidden="1">
      <c r="A90" s="6">
        <f>D68</f>
        <v>1.0005</v>
      </c>
      <c r="B90" s="5" t="str">
        <f>Spielernamen_Einstellungen!J48</f>
        <v>Frei_10 - Frei_30</v>
      </c>
      <c r="C90" s="5">
        <f>B74+B76+B78+A80</f>
        <v>0</v>
      </c>
      <c r="D90" s="5">
        <f>J100-H100+J102-H102+J104-H104+H106-J106</f>
        <v>0</v>
      </c>
    </row>
    <row r="91" ht="15" hidden="1">
      <c r="A91" t="s">
        <v>21</v>
      </c>
    </row>
    <row r="92" ht="15" hidden="1"/>
    <row r="93" ht="15" hidden="1"/>
    <row r="94" ht="15" hidden="1"/>
    <row r="95" spans="1:10" ht="23.25" hidden="1">
      <c r="A95" s="21" t="s">
        <v>5</v>
      </c>
      <c r="B95" s="20"/>
      <c r="C95" s="20"/>
      <c r="D95" s="20"/>
      <c r="E95" s="20"/>
      <c r="F95" s="20"/>
      <c r="G95" s="20"/>
      <c r="H95" s="20"/>
      <c r="I95" s="20"/>
      <c r="J95" s="20"/>
    </row>
    <row r="96" ht="15" hidden="1"/>
    <row r="97" spans="1:10" ht="15" hidden="1">
      <c r="A97" s="11" t="s">
        <v>24</v>
      </c>
      <c r="B97" s="11" t="s">
        <v>22</v>
      </c>
      <c r="C97" s="11" t="s">
        <v>6</v>
      </c>
      <c r="D97" s="11" t="s">
        <v>9</v>
      </c>
      <c r="F97" s="11" t="s">
        <v>26</v>
      </c>
      <c r="G97" s="10" t="s">
        <v>25</v>
      </c>
      <c r="H97" s="15" t="s">
        <v>7</v>
      </c>
      <c r="I97" s="16"/>
      <c r="J97" s="17"/>
    </row>
    <row r="98" spans="1:10" ht="15" hidden="1">
      <c r="A98" s="9">
        <f>IF(ROW($A$1)&gt;COUNT(D64:D68),"",SMALL(D64:D68,ROW($A$1)))</f>
        <v>1.0001</v>
      </c>
      <c r="B98" s="12" t="str">
        <f>IF($A98="","",INDEX(B86:B90,MATCH($A98,$A86:A90,0)))</f>
        <v>Frei_6 - Frei_26</v>
      </c>
      <c r="C98" s="13">
        <f>VLOOKUP(B98,B86:D90,2,FALSE)</f>
        <v>0</v>
      </c>
      <c r="D98" s="13">
        <f>VLOOKUP(B98,B86:D90,3,FALSE)</f>
        <v>0</v>
      </c>
      <c r="F98" s="8">
        <v>1</v>
      </c>
      <c r="G98" s="12" t="str">
        <f>CONCATENATE(B86," &lt;&lt;&lt;vs.&gt;&gt;&gt; ",B87)</f>
        <v>Frei_6 - Frei_26 &lt;&lt;&lt;vs.&gt;&gt;&gt; Frei_7 - Frei_27</v>
      </c>
      <c r="H98" s="18"/>
      <c r="I98" s="14" t="s">
        <v>8</v>
      </c>
      <c r="J98" s="19"/>
    </row>
    <row r="99" spans="1:10" ht="15" hidden="1">
      <c r="A99" s="9">
        <f>IF(ROW($A$2)&gt;COUNT(D64:D68),"",SMALL(D64:D68,ROW($A$2)))</f>
        <v>1.0002</v>
      </c>
      <c r="B99" s="12" t="str">
        <f>IF($A99="","",INDEX(B86:B90,MATCH($A99,$A86:A90,0)))</f>
        <v>Frei_7 - Frei_27</v>
      </c>
      <c r="C99" s="13">
        <f>VLOOKUP(B99,B86:D90,2,FALSE)</f>
        <v>0</v>
      </c>
      <c r="D99" s="13">
        <f>VLOOKUP(B99,B86:D90,3,FALSE)</f>
        <v>0</v>
      </c>
      <c r="F99" s="8">
        <v>2</v>
      </c>
      <c r="G99" s="12" t="str">
        <f>CONCATENATE(B88," &lt;&lt;&lt;vs.&gt;&gt;&gt; ",B89)</f>
        <v>Frei_8 - Frei_28 &lt;&lt;&lt;vs.&gt;&gt;&gt; Frei_9 - Frei_29</v>
      </c>
      <c r="H99" s="18"/>
      <c r="I99" s="14" t="s">
        <v>8</v>
      </c>
      <c r="J99" s="19"/>
    </row>
    <row r="100" spans="1:10" ht="15" hidden="1">
      <c r="A100" s="9">
        <f>IF(ROW($A$3)&gt;COUNT(D64:D68),"",SMALL(D64:D68,ROW($A$3)))</f>
        <v>1.0003</v>
      </c>
      <c r="B100" s="12" t="str">
        <f>IF($A100="","",INDEX(B86:B90,MATCH($A100,$A86:A90,0)))</f>
        <v>Frei_8 - Frei_28</v>
      </c>
      <c r="C100" s="13">
        <f>VLOOKUP(B100,B86:D90,2,FALSE)</f>
        <v>0</v>
      </c>
      <c r="D100" s="13">
        <f>VLOOKUP(B100,B86:D90,3,FALSE)</f>
        <v>0</v>
      </c>
      <c r="F100" s="8">
        <v>3</v>
      </c>
      <c r="G100" s="12" t="str">
        <f>CONCATENATE(B86," &lt;&lt;&lt;vs.&gt;&gt;&gt; ",B90)</f>
        <v>Frei_6 - Frei_26 &lt;&lt;&lt;vs.&gt;&gt;&gt; Frei_10 - Frei_30</v>
      </c>
      <c r="H100" s="18"/>
      <c r="I100" s="14" t="s">
        <v>8</v>
      </c>
      <c r="J100" s="19"/>
    </row>
    <row r="101" spans="1:10" ht="15" hidden="1">
      <c r="A101" s="9">
        <f>IF(ROW($A$4)&gt;COUNT(D64:D68),"",SMALL(D64:D68,ROW($A$4)))</f>
        <v>1.0004</v>
      </c>
      <c r="B101" s="12" t="str">
        <f>IF($A101="","",INDEX(B86:B90,MATCH($A101,$A86:A90,0)))</f>
        <v>Frei_9 - Frei_29</v>
      </c>
      <c r="C101" s="13">
        <f>VLOOKUP(B101,B86:D90,2,FALSE)</f>
        <v>0</v>
      </c>
      <c r="D101" s="13">
        <f>VLOOKUP(B101,B86:D90,3,FALSE)</f>
        <v>0</v>
      </c>
      <c r="F101" s="8">
        <v>4</v>
      </c>
      <c r="G101" s="12" t="str">
        <f>CONCATENATE(B87," &lt;&lt;&lt;vs.&gt;&gt;&gt; ",B89)</f>
        <v>Frei_7 - Frei_27 &lt;&lt;&lt;vs.&gt;&gt;&gt; Frei_9 - Frei_29</v>
      </c>
      <c r="H101" s="18"/>
      <c r="I101" s="14" t="s">
        <v>8</v>
      </c>
      <c r="J101" s="19"/>
    </row>
    <row r="102" spans="1:10" ht="15" hidden="1">
      <c r="A102" s="9">
        <f>IF(ROW($A$5)&gt;COUNT(D64:D68),"",SMALL(D64:D68,ROW($A$5)))</f>
        <v>1.0005</v>
      </c>
      <c r="B102" s="12" t="str">
        <f>IF($A102="","",INDEX(B86:B90,MATCH($A102,$A86:A90,0)))</f>
        <v>Frei_10 - Frei_30</v>
      </c>
      <c r="C102" s="13">
        <f>VLOOKUP(B102,B86:D90,2,FALSE)</f>
        <v>0</v>
      </c>
      <c r="D102" s="13">
        <f>VLOOKUP(B102,B86:D90,3,FALSE)</f>
        <v>0</v>
      </c>
      <c r="F102" s="8">
        <v>5</v>
      </c>
      <c r="G102" s="12" t="str">
        <f>CONCATENATE(B88," &lt;&lt;&lt;vs.&gt;&gt;&gt; ",B90)</f>
        <v>Frei_8 - Frei_28 &lt;&lt;&lt;vs.&gt;&gt;&gt; Frei_10 - Frei_30</v>
      </c>
      <c r="H102" s="18"/>
      <c r="I102" s="14" t="s">
        <v>8</v>
      </c>
      <c r="J102" s="19"/>
    </row>
    <row r="103" spans="6:10" ht="15" hidden="1">
      <c r="F103" s="8">
        <v>6</v>
      </c>
      <c r="G103" s="12" t="str">
        <f>CONCATENATE(B86," &lt;&lt;&lt;vs.&gt;&gt;&gt; ",B89)</f>
        <v>Frei_6 - Frei_26 &lt;&lt;&lt;vs.&gt;&gt;&gt; Frei_9 - Frei_29</v>
      </c>
      <c r="H103" s="18"/>
      <c r="I103" s="14" t="s">
        <v>8</v>
      </c>
      <c r="J103" s="19"/>
    </row>
    <row r="104" spans="6:10" ht="15" hidden="1">
      <c r="F104" s="8">
        <v>7</v>
      </c>
      <c r="G104" s="12" t="str">
        <f>CONCATENATE(B87," &lt;&lt;&lt;vs.&gt;&gt;&gt; ",B90)</f>
        <v>Frei_7 - Frei_27 &lt;&lt;&lt;vs.&gt;&gt;&gt; Frei_10 - Frei_30</v>
      </c>
      <c r="H104" s="18"/>
      <c r="I104" s="14" t="s">
        <v>8</v>
      </c>
      <c r="J104" s="19"/>
    </row>
    <row r="105" spans="6:10" ht="15" hidden="1">
      <c r="F105" s="8">
        <v>8</v>
      </c>
      <c r="G105" s="12" t="str">
        <f>CONCATENATE(B88," &lt;&lt;&lt;vs.&gt;&gt;&gt; ",B86)</f>
        <v>Frei_8 - Frei_28 &lt;&lt;&lt;vs.&gt;&gt;&gt; Frei_6 - Frei_26</v>
      </c>
      <c r="H105" s="18"/>
      <c r="I105" s="14" t="s">
        <v>8</v>
      </c>
      <c r="J105" s="19"/>
    </row>
    <row r="106" spans="6:10" ht="15" hidden="1">
      <c r="F106" s="8">
        <v>9</v>
      </c>
      <c r="G106" s="12" t="str">
        <f>CONCATENATE(B90," &lt;&lt;&lt;vs.&gt;&gt;&gt; ",B89)</f>
        <v>Frei_10 - Frei_30 &lt;&lt;&lt;vs.&gt;&gt;&gt; Frei_9 - Frei_29</v>
      </c>
      <c r="H106" s="18"/>
      <c r="I106" s="14" t="s">
        <v>8</v>
      </c>
      <c r="J106" s="19"/>
    </row>
    <row r="107" spans="6:10" ht="15" hidden="1">
      <c r="F107" s="8">
        <v>10</v>
      </c>
      <c r="G107" s="12" t="str">
        <f>CONCATENATE(B87," &lt;&lt;&lt;vs.&gt;&gt;&gt; ",B88)</f>
        <v>Frei_7 - Frei_27 &lt;&lt;&lt;vs.&gt;&gt;&gt; Frei_8 - Frei_28</v>
      </c>
      <c r="H107" s="18"/>
      <c r="I107" s="14" t="s">
        <v>8</v>
      </c>
      <c r="J107" s="19"/>
    </row>
    <row r="108" ht="15" hidden="1"/>
    <row r="109" ht="15" hidden="1"/>
    <row r="110" ht="15" hidden="1"/>
    <row r="111" ht="15" hidden="1"/>
    <row r="112" ht="15" hidden="1"/>
    <row r="113" ht="15" hidden="1">
      <c r="A113" t="s">
        <v>20</v>
      </c>
    </row>
    <row r="114" spans="1:3" ht="15" hidden="1">
      <c r="A114" t="s">
        <v>102</v>
      </c>
      <c r="C114" t="s">
        <v>103</v>
      </c>
    </row>
    <row r="115" spans="1:4" ht="15" hidden="1">
      <c r="A115" s="4" t="s">
        <v>16</v>
      </c>
      <c r="B115" s="4" t="s">
        <v>17</v>
      </c>
      <c r="C115" s="4" t="s">
        <v>18</v>
      </c>
      <c r="D115" s="4" t="s">
        <v>19</v>
      </c>
    </row>
    <row r="116" spans="1:4" ht="15" hidden="1">
      <c r="A116" s="4">
        <f>RANK(C138,C138:C142,0)</f>
        <v>1</v>
      </c>
      <c r="B116" s="4">
        <f>RANK(D138,D138:D142,0)</f>
        <v>1</v>
      </c>
      <c r="C116" s="4">
        <f>A116+(B116/10)</f>
        <v>1.1</v>
      </c>
      <c r="D116" s="7">
        <f>IF(C116="","",RANK(C116,C116:C120,1)+ROW($A$1)%%)</f>
        <v>1.0001</v>
      </c>
    </row>
    <row r="117" spans="1:4" ht="15" hidden="1">
      <c r="A117" s="4">
        <f>RANK(C139,C138:C142,0)</f>
        <v>1</v>
      </c>
      <c r="B117" s="4">
        <f>RANK(D139,D138:D142,0)</f>
        <v>1</v>
      </c>
      <c r="C117" s="4">
        <f>A117+(B117/10)</f>
        <v>1.1</v>
      </c>
      <c r="D117" s="7">
        <f>IF(C117="","",RANK(C117,C116:C120,1)+ROW($A$2)%%)</f>
        <v>1.0002</v>
      </c>
    </row>
    <row r="118" spans="1:4" ht="15" hidden="1">
      <c r="A118" s="4">
        <f>RANK(C140,C138:C142,0)</f>
        <v>1</v>
      </c>
      <c r="B118" s="4">
        <f>RANK(D140,D138:D142,0)</f>
        <v>1</v>
      </c>
      <c r="C118" s="4">
        <f>A118+(B118/10)</f>
        <v>1.1</v>
      </c>
      <c r="D118" s="7">
        <f>IF(C118="","",RANK(C118,C116:C120,1)+ROW($A$3)%%)</f>
        <v>1.0003</v>
      </c>
    </row>
    <row r="119" spans="1:4" ht="15" hidden="1">
      <c r="A119" s="4">
        <f>RANK(C141,C138:C142,0)</f>
        <v>1</v>
      </c>
      <c r="B119" s="4">
        <f>RANK(D141,D138:D142,0)</f>
        <v>1</v>
      </c>
      <c r="C119" s="4">
        <f>A119+(B119/10)</f>
        <v>1.1</v>
      </c>
      <c r="D119" s="7">
        <f>IF(C119="","",RANK(C119,C116:C120,1)+ROW($A$4)%%)</f>
        <v>1.0004</v>
      </c>
    </row>
    <row r="120" spans="1:4" ht="15" hidden="1">
      <c r="A120" s="4">
        <f>RANK(C142,C138:C142,0)</f>
        <v>1</v>
      </c>
      <c r="B120" s="4">
        <f>RANK(D142,D138:D142,0)</f>
        <v>1</v>
      </c>
      <c r="C120" s="4">
        <f>A120+(B120/10)</f>
        <v>1.1</v>
      </c>
      <c r="D120" s="7">
        <f>IF(C120="","",RANK(C120,C116:C120,1)+ROW($A$5)%%)</f>
        <v>1.0005</v>
      </c>
    </row>
    <row r="121" ht="15" hidden="1"/>
    <row r="122" ht="15" hidden="1"/>
    <row r="123" spans="1:3" ht="15" hidden="1">
      <c r="A123" s="3" t="s">
        <v>23</v>
      </c>
      <c r="B123" s="3"/>
      <c r="C123" t="s">
        <v>26</v>
      </c>
    </row>
    <row r="124" spans="1:3" ht="15" hidden="1">
      <c r="A124" s="3">
        <f>IF(H150&gt;J150,Spielernamen_Einstellungen!$B$23,0)</f>
        <v>0</v>
      </c>
      <c r="B124" s="3">
        <f>IF(J150&gt;H150,Spielernamen_Einstellungen!$B$23,0)</f>
        <v>0</v>
      </c>
      <c r="C124">
        <v>1</v>
      </c>
    </row>
    <row r="125" spans="1:3" ht="15" hidden="1">
      <c r="A125" s="3">
        <f>IF(H151&gt;J151,Spielernamen_Einstellungen!$B$23,0)</f>
        <v>0</v>
      </c>
      <c r="B125" s="3">
        <f>IF(J151&gt;H151,Spielernamen_Einstellungen!$B$23,0)</f>
        <v>0</v>
      </c>
      <c r="C125">
        <v>2</v>
      </c>
    </row>
    <row r="126" spans="1:3" ht="15" hidden="1">
      <c r="A126" s="3">
        <f>IF(H152&gt;J152,Spielernamen_Einstellungen!$B$23,0)</f>
        <v>0</v>
      </c>
      <c r="B126" s="3">
        <f>IF(J152&gt;H152,Spielernamen_Einstellungen!$B$23,0)</f>
        <v>0</v>
      </c>
      <c r="C126">
        <v>3</v>
      </c>
    </row>
    <row r="127" spans="1:3" ht="15" hidden="1">
      <c r="A127" s="3">
        <f>IF(H153&gt;J153,Spielernamen_Einstellungen!$B$23,0)</f>
        <v>0</v>
      </c>
      <c r="B127" s="3">
        <f>IF(J153&gt;H153,Spielernamen_Einstellungen!$B$23,0)</f>
        <v>0</v>
      </c>
      <c r="C127">
        <v>4</v>
      </c>
    </row>
    <row r="128" spans="1:3" ht="15" hidden="1">
      <c r="A128" s="3">
        <f>IF(H154&gt;J154,Spielernamen_Einstellungen!$B$23,0)</f>
        <v>0</v>
      </c>
      <c r="B128" s="3">
        <f>IF(J154&gt;H154,Spielernamen_Einstellungen!$B$23,0)</f>
        <v>0</v>
      </c>
      <c r="C128">
        <v>5</v>
      </c>
    </row>
    <row r="129" spans="1:3" ht="15" hidden="1">
      <c r="A129" s="3">
        <f>IF(H155&gt;J155,Spielernamen_Einstellungen!$B$23,0)</f>
        <v>0</v>
      </c>
      <c r="B129" s="3">
        <f>IF(J155&gt;H155,Spielernamen_Einstellungen!$B$23,0)</f>
        <v>0</v>
      </c>
      <c r="C129">
        <v>6</v>
      </c>
    </row>
    <row r="130" spans="1:3" ht="15" hidden="1">
      <c r="A130" s="3">
        <f>IF(H156&gt;J156,Spielernamen_Einstellungen!$B$23,0)</f>
        <v>0</v>
      </c>
      <c r="B130" s="3">
        <f>IF(J156&gt;H156,Spielernamen_Einstellungen!$B$23,0)</f>
        <v>0</v>
      </c>
      <c r="C130">
        <v>7</v>
      </c>
    </row>
    <row r="131" spans="1:3" ht="15" hidden="1">
      <c r="A131" s="3">
        <f>IF(H157&gt;J157,Spielernamen_Einstellungen!$B$23,0)</f>
        <v>0</v>
      </c>
      <c r="B131" s="3">
        <f>IF(J157&gt;H157,Spielernamen_Einstellungen!$B$23,0)</f>
        <v>0</v>
      </c>
      <c r="C131">
        <v>8</v>
      </c>
    </row>
    <row r="132" spans="1:3" ht="15" hidden="1">
      <c r="A132" s="3">
        <f>IF(H158&gt;J158,Spielernamen_Einstellungen!$B$23,0)</f>
        <v>0</v>
      </c>
      <c r="B132" s="3">
        <f>IF(J158&gt;H158,Spielernamen_Einstellungen!$B$23,0)</f>
        <v>0</v>
      </c>
      <c r="C132">
        <v>9</v>
      </c>
    </row>
    <row r="133" spans="1:3" ht="15" hidden="1">
      <c r="A133" s="3">
        <f>IF(H159&gt;J159,Spielernamen_Einstellungen!$B$23,0)</f>
        <v>0</v>
      </c>
      <c r="B133" s="3">
        <f>IF(J159&gt;H159,Spielernamen_Einstellungen!$B$23,0)</f>
        <v>0</v>
      </c>
      <c r="C133">
        <v>10</v>
      </c>
    </row>
    <row r="134" ht="15" hidden="1"/>
    <row r="135" ht="15" hidden="1"/>
    <row r="136" spans="1:4" ht="15" hidden="1">
      <c r="A136" s="5"/>
      <c r="B136" s="22" t="s">
        <v>27</v>
      </c>
      <c r="C136" s="5"/>
      <c r="D136" s="5"/>
    </row>
    <row r="137" spans="1:4" ht="15" hidden="1">
      <c r="A137" s="5" t="s">
        <v>15</v>
      </c>
      <c r="B137" s="5"/>
      <c r="C137" s="5" t="s">
        <v>6</v>
      </c>
      <c r="D137" s="5" t="s">
        <v>9</v>
      </c>
    </row>
    <row r="138" spans="1:4" ht="15" hidden="1">
      <c r="A138" s="6">
        <f>D116</f>
        <v>1.0001</v>
      </c>
      <c r="B138" s="5" t="str">
        <f>Spielernamen_Einstellungen!K44</f>
        <v>Frei_11 - Frei_31</v>
      </c>
      <c r="C138" s="6">
        <f>A124+A126+A129+B131</f>
        <v>0</v>
      </c>
      <c r="D138" s="5">
        <f>H150+H152+H155-J150-J152-J155+J157-H157</f>
        <v>0</v>
      </c>
    </row>
    <row r="139" spans="1:4" ht="15" hidden="1">
      <c r="A139" s="6">
        <f>D117</f>
        <v>1.0002</v>
      </c>
      <c r="B139" s="5" t="str">
        <f>Spielernamen_Einstellungen!K45</f>
        <v>Frei_12 - Frei_32</v>
      </c>
      <c r="C139" s="5">
        <f>B124+A127+A130+A133</f>
        <v>0</v>
      </c>
      <c r="D139" s="5">
        <f>J150-H150+H153-J153+H156-J156+H159-J159</f>
        <v>0</v>
      </c>
    </row>
    <row r="140" spans="1:4" ht="15" hidden="1">
      <c r="A140" s="6">
        <f>D118</f>
        <v>1.0003</v>
      </c>
      <c r="B140" s="5" t="str">
        <f>Spielernamen_Einstellungen!K46</f>
        <v>Frei_13 - Frei_33</v>
      </c>
      <c r="C140" s="5">
        <f>A125+A128+A131+B133</f>
        <v>0</v>
      </c>
      <c r="D140" s="5">
        <f>H151-J151+H154-J154+H157-J157+J159-H159</f>
        <v>0</v>
      </c>
    </row>
    <row r="141" spans="1:4" ht="15" hidden="1">
      <c r="A141" s="6">
        <f>D119</f>
        <v>1.0004</v>
      </c>
      <c r="B141" s="5" t="str">
        <f>Spielernamen_Einstellungen!K47</f>
        <v>Frei_14 - Frei_34</v>
      </c>
      <c r="C141" s="5">
        <f>B125+B127+B129+B132</f>
        <v>0</v>
      </c>
      <c r="D141" s="5">
        <f>J151-H151+J153-H153+J155-H155+J158-H158</f>
        <v>0</v>
      </c>
    </row>
    <row r="142" spans="1:4" ht="15" hidden="1">
      <c r="A142" s="6">
        <f>D120</f>
        <v>1.0005</v>
      </c>
      <c r="B142" s="5" t="str">
        <f>Spielernamen_Einstellungen!K48</f>
        <v>Frei_15 - Frei_35</v>
      </c>
      <c r="C142" s="5">
        <f>B126+B128+B130+A132</f>
        <v>0</v>
      </c>
      <c r="D142" s="5">
        <f>J152-H152+J154-H154+J156-H156+H158-J158</f>
        <v>0</v>
      </c>
    </row>
    <row r="143" ht="15" hidden="1">
      <c r="A143" t="s">
        <v>21</v>
      </c>
    </row>
    <row r="144" ht="15" hidden="1"/>
    <row r="147" spans="1:10" ht="23.25">
      <c r="A147" s="21" t="s">
        <v>30</v>
      </c>
      <c r="B147" s="20"/>
      <c r="C147" s="20"/>
      <c r="D147" s="20"/>
      <c r="E147" s="20"/>
      <c r="F147" s="20"/>
      <c r="G147" s="20"/>
      <c r="H147" s="20"/>
      <c r="I147" s="20"/>
      <c r="J147" s="20"/>
    </row>
    <row r="149" spans="1:10" ht="15">
      <c r="A149" s="11" t="s">
        <v>24</v>
      </c>
      <c r="B149" s="11" t="s">
        <v>22</v>
      </c>
      <c r="C149" s="11" t="s">
        <v>6</v>
      </c>
      <c r="D149" s="11" t="s">
        <v>9</v>
      </c>
      <c r="F149" s="11" t="s">
        <v>26</v>
      </c>
      <c r="G149" s="10" t="s">
        <v>25</v>
      </c>
      <c r="H149" s="15" t="s">
        <v>7</v>
      </c>
      <c r="I149" s="16"/>
      <c r="J149" s="17"/>
    </row>
    <row r="150" spans="1:14" ht="15">
      <c r="A150" s="9">
        <f>IF(ROW($A$1)&gt;COUNT(D116:D120),"",SMALL(D116:D120,ROW($A$1)))</f>
        <v>1.0001</v>
      </c>
      <c r="B150" s="12" t="str">
        <f>IF($A150="","",INDEX(B138:B142,MATCH($A150,$A138:A142,0)))</f>
        <v>Frei_11 - Frei_31</v>
      </c>
      <c r="C150" s="13">
        <f>VLOOKUP(B150,B138:D142,2,FALSE)</f>
        <v>0</v>
      </c>
      <c r="D150" s="13">
        <f>VLOOKUP(B150,B138:D142,3,FALSE)</f>
        <v>0</v>
      </c>
      <c r="F150" s="8">
        <v>1</v>
      </c>
      <c r="G150" s="12" t="str">
        <f>CONCATENATE(B138," &lt;&lt;&lt;vs.&gt;&gt;&gt; ",B139)</f>
        <v>Frei_11 - Frei_31 &lt;&lt;&lt;vs.&gt;&gt;&gt; Frei_12 - Frei_32</v>
      </c>
      <c r="H150" s="18"/>
      <c r="I150" s="14" t="s">
        <v>8</v>
      </c>
      <c r="J150" s="19"/>
      <c r="L150" s="50"/>
      <c r="M150" s="50"/>
      <c r="N150" s="50"/>
    </row>
    <row r="151" spans="1:10" ht="15">
      <c r="A151" s="9">
        <f>IF(ROW($A$2)&gt;COUNT(D116:D120),"",SMALL(D116:D120,ROW($A$2)))</f>
        <v>1.0002</v>
      </c>
      <c r="B151" s="12" t="str">
        <f>IF($A151="","",INDEX(B138:B142,MATCH($A151,$A138:A142,0)))</f>
        <v>Frei_12 - Frei_32</v>
      </c>
      <c r="C151" s="13">
        <f>VLOOKUP(B151,B138:D142,2,FALSE)</f>
        <v>0</v>
      </c>
      <c r="D151" s="13">
        <f>VLOOKUP(B151,B138:D142,3,FALSE)</f>
        <v>0</v>
      </c>
      <c r="F151" s="8">
        <v>2</v>
      </c>
      <c r="G151" s="12" t="str">
        <f>CONCATENATE(B140," &lt;&lt;&lt;vs.&gt;&gt;&gt; ",B141)</f>
        <v>Frei_13 - Frei_33 &lt;&lt;&lt;vs.&gt;&gt;&gt; Frei_14 - Frei_34</v>
      </c>
      <c r="H151" s="18"/>
      <c r="I151" s="14" t="s">
        <v>8</v>
      </c>
      <c r="J151" s="19"/>
    </row>
    <row r="152" spans="1:10" ht="15">
      <c r="A152" s="9">
        <f>IF(ROW($A$3)&gt;COUNT(D116:D120),"",SMALL(D116:D120,ROW($A$3)))</f>
        <v>1.0003</v>
      </c>
      <c r="B152" s="12" t="str">
        <f>IF($A152="","",INDEX(B138:B142,MATCH($A152,$A138:A142,0)))</f>
        <v>Frei_13 - Frei_33</v>
      </c>
      <c r="C152" s="13">
        <f>VLOOKUP(B152,B138:D142,2,FALSE)</f>
        <v>0</v>
      </c>
      <c r="D152" s="13">
        <f>VLOOKUP(B152,B138:D142,3,FALSE)</f>
        <v>0</v>
      </c>
      <c r="F152" s="8">
        <v>3</v>
      </c>
      <c r="G152" s="12" t="str">
        <f>CONCATENATE(B138," &lt;&lt;&lt;vs.&gt;&gt;&gt; ",B142)</f>
        <v>Frei_11 - Frei_31 &lt;&lt;&lt;vs.&gt;&gt;&gt; Frei_15 - Frei_35</v>
      </c>
      <c r="H152" s="18"/>
      <c r="I152" s="14" t="s">
        <v>8</v>
      </c>
      <c r="J152" s="19"/>
    </row>
    <row r="153" spans="1:10" ht="15">
      <c r="A153" s="9">
        <f>IF(ROW($A$4)&gt;COUNT(D116:D120),"",SMALL(D116:D120,ROW($A$4)))</f>
        <v>1.0004</v>
      </c>
      <c r="B153" s="12" t="str">
        <f>IF($A153="","",INDEX(B138:B142,MATCH($A153,$A138:A142,0)))</f>
        <v>Frei_14 - Frei_34</v>
      </c>
      <c r="C153" s="13">
        <f>VLOOKUP(B153,B138:D142,2,FALSE)</f>
        <v>0</v>
      </c>
      <c r="D153" s="13">
        <f>VLOOKUP(B153,B138:D142,3,FALSE)</f>
        <v>0</v>
      </c>
      <c r="F153" s="8">
        <v>4</v>
      </c>
      <c r="G153" s="12" t="str">
        <f>CONCATENATE(B139," &lt;&lt;&lt;vs.&gt;&gt;&gt; ",B141)</f>
        <v>Frei_12 - Frei_32 &lt;&lt;&lt;vs.&gt;&gt;&gt; Frei_14 - Frei_34</v>
      </c>
      <c r="H153" s="18"/>
      <c r="I153" s="14" t="s">
        <v>8</v>
      </c>
      <c r="J153" s="19"/>
    </row>
    <row r="154" spans="1:10" ht="15">
      <c r="A154" s="9">
        <f>IF(ROW($A$5)&gt;COUNT(D116:D120),"",SMALL(D116:D120,ROW($A$5)))</f>
        <v>1.0005</v>
      </c>
      <c r="B154" s="12" t="str">
        <f>IF($A154="","",INDEX(B138:B142,MATCH($A154,$A138:A142,0)))</f>
        <v>Frei_15 - Frei_35</v>
      </c>
      <c r="C154" s="13">
        <f>VLOOKUP(B154,B138:D142,2,FALSE)</f>
        <v>0</v>
      </c>
      <c r="D154" s="13">
        <f>VLOOKUP(B154,B138:D142,3,FALSE)</f>
        <v>0</v>
      </c>
      <c r="F154" s="8">
        <v>5</v>
      </c>
      <c r="G154" s="12" t="str">
        <f>CONCATENATE(B140," &lt;&lt;&lt;vs.&gt;&gt;&gt; ",B142)</f>
        <v>Frei_13 - Frei_33 &lt;&lt;&lt;vs.&gt;&gt;&gt; Frei_15 - Frei_35</v>
      </c>
      <c r="H154" s="18"/>
      <c r="I154" s="14" t="s">
        <v>8</v>
      </c>
      <c r="J154" s="19"/>
    </row>
    <row r="155" spans="6:10" ht="15">
      <c r="F155" s="8">
        <v>6</v>
      </c>
      <c r="G155" s="12" t="str">
        <f>CONCATENATE(B138," &lt;&lt;&lt;vs.&gt;&gt;&gt; ",B141)</f>
        <v>Frei_11 - Frei_31 &lt;&lt;&lt;vs.&gt;&gt;&gt; Frei_14 - Frei_34</v>
      </c>
      <c r="H155" s="18"/>
      <c r="I155" s="14" t="s">
        <v>8</v>
      </c>
      <c r="J155" s="19"/>
    </row>
    <row r="156" spans="6:10" ht="15">
      <c r="F156" s="8">
        <v>7</v>
      </c>
      <c r="G156" s="12" t="str">
        <f>CONCATENATE(B139," &lt;&lt;&lt;vs.&gt;&gt;&gt; ",B142)</f>
        <v>Frei_12 - Frei_32 &lt;&lt;&lt;vs.&gt;&gt;&gt; Frei_15 - Frei_35</v>
      </c>
      <c r="H156" s="18"/>
      <c r="I156" s="14" t="s">
        <v>8</v>
      </c>
      <c r="J156" s="19"/>
    </row>
    <row r="157" spans="6:10" ht="15">
      <c r="F157" s="8">
        <v>8</v>
      </c>
      <c r="G157" s="12" t="str">
        <f>CONCATENATE(B140," &lt;&lt;&lt;vs.&gt;&gt;&gt; ",B138)</f>
        <v>Frei_13 - Frei_33 &lt;&lt;&lt;vs.&gt;&gt;&gt; Frei_11 - Frei_31</v>
      </c>
      <c r="H157" s="18"/>
      <c r="I157" s="14" t="s">
        <v>8</v>
      </c>
      <c r="J157" s="19"/>
    </row>
    <row r="158" spans="6:10" ht="15">
      <c r="F158" s="8">
        <v>9</v>
      </c>
      <c r="G158" s="12" t="str">
        <f>CONCATENATE(B142," &lt;&lt;&lt;vs.&gt;&gt;&gt; ",B141)</f>
        <v>Frei_15 - Frei_35 &lt;&lt;&lt;vs.&gt;&gt;&gt; Frei_14 - Frei_34</v>
      </c>
      <c r="H158" s="18"/>
      <c r="I158" s="14" t="s">
        <v>8</v>
      </c>
      <c r="J158" s="19"/>
    </row>
    <row r="159" spans="6:10" ht="15">
      <c r="F159" s="8">
        <v>10</v>
      </c>
      <c r="G159" s="12" t="str">
        <f>CONCATENATE(B139," &lt;&lt;&lt;vs.&gt;&gt;&gt; ",B140)</f>
        <v>Frei_12 - Frei_32 &lt;&lt;&lt;vs.&gt;&gt;&gt; Frei_13 - Frei_33</v>
      </c>
      <c r="H159" s="18"/>
      <c r="I159" s="14" t="s">
        <v>8</v>
      </c>
      <c r="J159" s="19"/>
    </row>
    <row r="162" ht="15" hidden="1"/>
    <row r="163" ht="15" hidden="1"/>
    <row r="164" ht="15" hidden="1"/>
    <row r="165" ht="15" hidden="1"/>
    <row r="166" ht="15" hidden="1"/>
    <row r="167" ht="15" hidden="1">
      <c r="A167" t="s">
        <v>20</v>
      </c>
    </row>
    <row r="168" spans="1:3" ht="15" hidden="1">
      <c r="A168" t="s">
        <v>102</v>
      </c>
      <c r="C168" t="s">
        <v>103</v>
      </c>
    </row>
    <row r="169" spans="1:4" ht="15" hidden="1">
      <c r="A169" s="4" t="s">
        <v>16</v>
      </c>
      <c r="B169" s="54" t="s">
        <v>17</v>
      </c>
      <c r="C169" s="4" t="s">
        <v>18</v>
      </c>
      <c r="D169" s="4" t="s">
        <v>19</v>
      </c>
    </row>
    <row r="170" spans="1:4" ht="15" hidden="1">
      <c r="A170" s="4">
        <f>RANK(C192,C192:C196,0)</f>
        <v>1</v>
      </c>
      <c r="B170" s="4">
        <f>RANK(D192,D192:D196,0)</f>
        <v>1</v>
      </c>
      <c r="C170" s="4">
        <f>A170+(B170/10)</f>
        <v>1.1</v>
      </c>
      <c r="D170" s="7">
        <f>IF(C170="","",RANK(C170,C170:C174,1)+ROW($A$1)%%)</f>
        <v>1.0001</v>
      </c>
    </row>
    <row r="171" spans="1:4" ht="15" hidden="1">
      <c r="A171" s="4">
        <f>RANK(C193,C192:C196,0)</f>
        <v>1</v>
      </c>
      <c r="B171" s="4">
        <f>RANK(D193,D192:D196,0)</f>
        <v>1</v>
      </c>
      <c r="C171" s="4">
        <f>A171+(B171/10)</f>
        <v>1.1</v>
      </c>
      <c r="D171" s="7">
        <f>IF(C171="","",RANK(C171,C170:C174,1)+ROW($A$2)%%)</f>
        <v>1.0002</v>
      </c>
    </row>
    <row r="172" spans="1:4" ht="15" hidden="1">
      <c r="A172" s="4">
        <f>RANK(C194,C192:C196,0)</f>
        <v>1</v>
      </c>
      <c r="B172" s="4">
        <f>RANK(D194,D192:D196,0)</f>
        <v>1</v>
      </c>
      <c r="C172" s="4">
        <f>A172+(B172/10)</f>
        <v>1.1</v>
      </c>
      <c r="D172" s="7">
        <f>IF(C172="","",RANK(C172,C170:C174,1)+ROW($A$3)%%)</f>
        <v>1.0003</v>
      </c>
    </row>
    <row r="173" spans="1:4" ht="15" hidden="1">
      <c r="A173" s="4">
        <f>RANK(C195,C192:C196,0)</f>
        <v>1</v>
      </c>
      <c r="B173" s="4">
        <f>RANK(D195,D192:D196,0)</f>
        <v>1</v>
      </c>
      <c r="C173" s="4">
        <f>A173+(B173/10)</f>
        <v>1.1</v>
      </c>
      <c r="D173" s="7">
        <f>IF(C173="","",RANK(C173,C170:C174,1)+ROW($A$4)%%)</f>
        <v>1.0004</v>
      </c>
    </row>
    <row r="174" spans="1:4" ht="15" hidden="1">
      <c r="A174" s="4">
        <f>RANK(C196,C192:C196,0)</f>
        <v>1</v>
      </c>
      <c r="B174" s="4">
        <f>RANK(D196,D192:D196,0)</f>
        <v>1</v>
      </c>
      <c r="C174" s="4">
        <f>A174+(B174/10)</f>
        <v>1.1</v>
      </c>
      <c r="D174" s="7">
        <f>IF(C174="","",RANK(C174,C170:C174,1)+ROW($A$5)%%)</f>
        <v>1.0005</v>
      </c>
    </row>
    <row r="175" ht="15" hidden="1"/>
    <row r="176" ht="15" hidden="1"/>
    <row r="177" spans="1:3" ht="15" hidden="1">
      <c r="A177" s="3" t="s">
        <v>23</v>
      </c>
      <c r="B177" s="3"/>
      <c r="C177" t="s">
        <v>26</v>
      </c>
    </row>
    <row r="178" spans="1:3" ht="15" hidden="1">
      <c r="A178" s="3">
        <f>IF(H204&gt;J204,Spielernamen_Einstellungen!$B$23,0)</f>
        <v>0</v>
      </c>
      <c r="B178" s="3">
        <f>IF(J204&gt;H204,Spielernamen_Einstellungen!$B$23,0)</f>
        <v>0</v>
      </c>
      <c r="C178">
        <v>1</v>
      </c>
    </row>
    <row r="179" spans="1:3" ht="15" hidden="1">
      <c r="A179" s="3">
        <f>IF(H205&gt;J205,Spielernamen_Einstellungen!$B$23,0)</f>
        <v>0</v>
      </c>
      <c r="B179" s="3">
        <f>IF(J205&gt;H205,Spielernamen_Einstellungen!$B$23,0)</f>
        <v>0</v>
      </c>
      <c r="C179">
        <v>2</v>
      </c>
    </row>
    <row r="180" spans="1:3" ht="15" hidden="1">
      <c r="A180" s="3">
        <f>IF(H206&gt;J206,Spielernamen_Einstellungen!$B$23,0)</f>
        <v>0</v>
      </c>
      <c r="B180" s="3">
        <f>IF(J206&gt;H206,Spielernamen_Einstellungen!$B$23,0)</f>
        <v>0</v>
      </c>
      <c r="C180">
        <v>3</v>
      </c>
    </row>
    <row r="181" spans="1:3" ht="15" hidden="1">
      <c r="A181" s="3">
        <f>IF(H207&gt;J207,Spielernamen_Einstellungen!$B$23,0)</f>
        <v>0</v>
      </c>
      <c r="B181" s="3">
        <f>IF(J207&gt;H207,Spielernamen_Einstellungen!$B$23,0)</f>
        <v>0</v>
      </c>
      <c r="C181">
        <v>4</v>
      </c>
    </row>
    <row r="182" spans="1:3" ht="15" hidden="1">
      <c r="A182" s="3">
        <f>IF(H208&gt;J208,Spielernamen_Einstellungen!$B$23,0)</f>
        <v>0</v>
      </c>
      <c r="B182" s="3">
        <f>IF(J208&gt;H208,Spielernamen_Einstellungen!$B$23,0)</f>
        <v>0</v>
      </c>
      <c r="C182">
        <v>5</v>
      </c>
    </row>
    <row r="183" spans="1:3" ht="15" hidden="1">
      <c r="A183" s="3">
        <f>IF(H209&gt;J209,Spielernamen_Einstellungen!$B$23,0)</f>
        <v>0</v>
      </c>
      <c r="B183" s="3">
        <f>IF(J209&gt;H209,Spielernamen_Einstellungen!$B$23,0)</f>
        <v>0</v>
      </c>
      <c r="C183">
        <v>6</v>
      </c>
    </row>
    <row r="184" spans="1:3" ht="15" hidden="1">
      <c r="A184" s="3">
        <f>IF(H210&gt;J210,Spielernamen_Einstellungen!$B$23,0)</f>
        <v>0</v>
      </c>
      <c r="B184" s="3">
        <f>IF(J210&gt;H210,Spielernamen_Einstellungen!$B$23,0)</f>
        <v>0</v>
      </c>
      <c r="C184">
        <v>7</v>
      </c>
    </row>
    <row r="185" spans="1:3" ht="15" hidden="1">
      <c r="A185" s="3">
        <f>IF(H211&gt;J211,Spielernamen_Einstellungen!$B$23,0)</f>
        <v>0</v>
      </c>
      <c r="B185" s="3">
        <f>IF(J211&gt;H211,Spielernamen_Einstellungen!$B$23,0)</f>
        <v>0</v>
      </c>
      <c r="C185">
        <v>8</v>
      </c>
    </row>
    <row r="186" spans="1:3" ht="15" hidden="1">
      <c r="A186" s="3">
        <f>IF(H212&gt;J212,Spielernamen_Einstellungen!$B$23,0)</f>
        <v>0</v>
      </c>
      <c r="B186" s="3">
        <f>IF(J212&gt;H212,Spielernamen_Einstellungen!$B$23,0)</f>
        <v>0</v>
      </c>
      <c r="C186">
        <v>9</v>
      </c>
    </row>
    <row r="187" spans="1:3" ht="15" hidden="1">
      <c r="A187" s="3">
        <f>IF(H213&gt;J213,Spielernamen_Einstellungen!$B$23,0)</f>
        <v>0</v>
      </c>
      <c r="B187" s="3">
        <f>IF(J213&gt;H213,Spielernamen_Einstellungen!$B$23,0)</f>
        <v>0</v>
      </c>
      <c r="C187">
        <v>10</v>
      </c>
    </row>
    <row r="188" ht="15" hidden="1"/>
    <row r="189" ht="15" hidden="1"/>
    <row r="190" spans="1:4" ht="15" hidden="1">
      <c r="A190" s="5"/>
      <c r="B190" s="22" t="s">
        <v>27</v>
      </c>
      <c r="C190" s="5"/>
      <c r="D190" s="5"/>
    </row>
    <row r="191" spans="1:4" ht="15" hidden="1">
      <c r="A191" s="5" t="s">
        <v>15</v>
      </c>
      <c r="B191" s="5"/>
      <c r="C191" s="5" t="s">
        <v>6</v>
      </c>
      <c r="D191" s="5" t="s">
        <v>9</v>
      </c>
    </row>
    <row r="192" spans="1:4" ht="15" hidden="1">
      <c r="A192" s="6">
        <f>D170</f>
        <v>1.0001</v>
      </c>
      <c r="B192" s="5" t="str">
        <f>Spielernamen_Einstellungen!L44</f>
        <v>Frei_16 - Frei_36</v>
      </c>
      <c r="C192" s="6">
        <f>A178+A180+A183+B185</f>
        <v>0</v>
      </c>
      <c r="D192" s="5">
        <f>H204+H206+H209-J204-J206-J209+J211-H211</f>
        <v>0</v>
      </c>
    </row>
    <row r="193" spans="1:4" ht="15" hidden="1">
      <c r="A193" s="6">
        <f>D171</f>
        <v>1.0002</v>
      </c>
      <c r="B193" s="5" t="str">
        <f>Spielernamen_Einstellungen!L45</f>
        <v>Frei_17 - Frei_37</v>
      </c>
      <c r="C193" s="5">
        <f>B178+A181+A184+A187</f>
        <v>0</v>
      </c>
      <c r="D193" s="5">
        <f>J204-H204+H207-J207+H210-J210+H213-J213</f>
        <v>0</v>
      </c>
    </row>
    <row r="194" spans="1:4" ht="15" hidden="1">
      <c r="A194" s="6">
        <f>D172</f>
        <v>1.0003</v>
      </c>
      <c r="B194" s="5" t="str">
        <f>Spielernamen_Einstellungen!L46</f>
        <v>Frei_18 - Frei_38</v>
      </c>
      <c r="C194" s="5">
        <f>A179+A182+A185+B187</f>
        <v>0</v>
      </c>
      <c r="D194" s="5">
        <f>H205-J205+H208-J208+H211-J211+J213-H213</f>
        <v>0</v>
      </c>
    </row>
    <row r="195" spans="1:4" ht="15" hidden="1">
      <c r="A195" s="6">
        <f>D173</f>
        <v>1.0004</v>
      </c>
      <c r="B195" s="5" t="str">
        <f>Spielernamen_Einstellungen!L47</f>
        <v>Frei_19 - Frei_39</v>
      </c>
      <c r="C195" s="5">
        <f>B179+B181+B183+B186</f>
        <v>0</v>
      </c>
      <c r="D195" s="5">
        <f>J205-H205+J207-H207+J209-H209+J212-H212</f>
        <v>0</v>
      </c>
    </row>
    <row r="196" spans="1:4" ht="15" hidden="1">
      <c r="A196" s="6">
        <f>D174</f>
        <v>1.0005</v>
      </c>
      <c r="B196" s="5" t="str">
        <f>Spielernamen_Einstellungen!L48</f>
        <v>Frei_20 - Frei_40</v>
      </c>
      <c r="C196" s="5">
        <f>B180+B182+B184+A186</f>
        <v>0</v>
      </c>
      <c r="D196" s="5">
        <f>J206-H206+J208-H208+J210-H210+H212-J212</f>
        <v>0</v>
      </c>
    </row>
    <row r="197" ht="15" hidden="1">
      <c r="A197" t="s">
        <v>21</v>
      </c>
    </row>
    <row r="198" ht="15" hidden="1"/>
    <row r="201" spans="1:10" ht="23.25">
      <c r="A201" s="21" t="s">
        <v>31</v>
      </c>
      <c r="B201" s="20"/>
      <c r="C201" s="20"/>
      <c r="D201" s="20"/>
      <c r="E201" s="20"/>
      <c r="F201" s="20"/>
      <c r="G201" s="20"/>
      <c r="H201" s="20"/>
      <c r="I201" s="20"/>
      <c r="J201" s="20"/>
    </row>
    <row r="203" spans="1:10" ht="15">
      <c r="A203" s="11" t="s">
        <v>24</v>
      </c>
      <c r="B203" s="11" t="s">
        <v>22</v>
      </c>
      <c r="C203" s="11" t="s">
        <v>6</v>
      </c>
      <c r="D203" s="11" t="s">
        <v>9</v>
      </c>
      <c r="F203" s="11" t="s">
        <v>26</v>
      </c>
      <c r="G203" s="10" t="s">
        <v>25</v>
      </c>
      <c r="H203" s="15" t="s">
        <v>7</v>
      </c>
      <c r="I203" s="16"/>
      <c r="J203" s="17"/>
    </row>
    <row r="204" spans="1:10" ht="15">
      <c r="A204" s="9">
        <f>IF(ROW($A$1)&gt;COUNT(D170:D174),"",SMALL(D170:D174,ROW($A$1)))</f>
        <v>1.0001</v>
      </c>
      <c r="B204" s="12" t="str">
        <f>IF($A204="","",INDEX(B192:B196,MATCH($A204,$A192:A196,0)))</f>
        <v>Frei_16 - Frei_36</v>
      </c>
      <c r="C204" s="13">
        <f>VLOOKUP(B204,B192:D196,2,FALSE)</f>
        <v>0</v>
      </c>
      <c r="D204" s="13">
        <f>VLOOKUP(B204,B192:D196,3,FALSE)</f>
        <v>0</v>
      </c>
      <c r="F204" s="8">
        <v>1</v>
      </c>
      <c r="G204" s="12" t="str">
        <f>CONCATENATE(B192," &lt;&lt;&lt;vs.&gt;&gt;&gt; ",B193)</f>
        <v>Frei_16 - Frei_36 &lt;&lt;&lt;vs.&gt;&gt;&gt; Frei_17 - Frei_37</v>
      </c>
      <c r="H204" s="18"/>
      <c r="I204" s="14" t="s">
        <v>8</v>
      </c>
      <c r="J204" s="19"/>
    </row>
    <row r="205" spans="1:10" ht="15">
      <c r="A205" s="9">
        <f>IF(ROW($A$2)&gt;COUNT(D170:D174),"",SMALL(D170:D174,ROW($A$2)))</f>
        <v>1.0002</v>
      </c>
      <c r="B205" s="12" t="str">
        <f>IF($A205="","",INDEX(B192:B196,MATCH($A205,$A192:A196,0)))</f>
        <v>Frei_17 - Frei_37</v>
      </c>
      <c r="C205" s="13">
        <f>VLOOKUP(B205,B192:D196,2,FALSE)</f>
        <v>0</v>
      </c>
      <c r="D205" s="13">
        <f>VLOOKUP(B205,B192:D196,3,FALSE)</f>
        <v>0</v>
      </c>
      <c r="F205" s="8">
        <v>2</v>
      </c>
      <c r="G205" s="12" t="str">
        <f>CONCATENATE(B194," &lt;&lt;&lt;vs.&gt;&gt;&gt; ",B195)</f>
        <v>Frei_18 - Frei_38 &lt;&lt;&lt;vs.&gt;&gt;&gt; Frei_19 - Frei_39</v>
      </c>
      <c r="H205" s="18"/>
      <c r="I205" s="14" t="s">
        <v>8</v>
      </c>
      <c r="J205" s="19"/>
    </row>
    <row r="206" spans="1:10" ht="15">
      <c r="A206" s="9">
        <f>IF(ROW($A$3)&gt;COUNT(D170:D174),"",SMALL(D170:D174,ROW($A$3)))</f>
        <v>1.0003</v>
      </c>
      <c r="B206" s="12" t="str">
        <f>IF($A206="","",INDEX(B192:B196,MATCH($A206,$A192:A196,0)))</f>
        <v>Frei_18 - Frei_38</v>
      </c>
      <c r="C206" s="13">
        <f>VLOOKUP(B206,B192:D196,2,FALSE)</f>
        <v>0</v>
      </c>
      <c r="D206" s="13">
        <f>VLOOKUP(B206,B192:D196,3,FALSE)</f>
        <v>0</v>
      </c>
      <c r="F206" s="8">
        <v>3</v>
      </c>
      <c r="G206" s="12" t="str">
        <f>CONCATENATE(B192," &lt;&lt;&lt;vs.&gt;&gt;&gt; ",B196)</f>
        <v>Frei_16 - Frei_36 &lt;&lt;&lt;vs.&gt;&gt;&gt; Frei_20 - Frei_40</v>
      </c>
      <c r="H206" s="18"/>
      <c r="I206" s="14" t="s">
        <v>8</v>
      </c>
      <c r="J206" s="19"/>
    </row>
    <row r="207" spans="1:10" ht="15">
      <c r="A207" s="9">
        <f>IF(ROW($A$4)&gt;COUNT(D170:D174),"",SMALL(D170:D174,ROW($A$4)))</f>
        <v>1.0004</v>
      </c>
      <c r="B207" s="12" t="str">
        <f>IF($A207="","",INDEX(B192:B196,MATCH($A207,$A192:A196,0)))</f>
        <v>Frei_19 - Frei_39</v>
      </c>
      <c r="C207" s="13">
        <f>VLOOKUP(B207,B192:D196,2,FALSE)</f>
        <v>0</v>
      </c>
      <c r="D207" s="13">
        <f>VLOOKUP(B207,B192:D196,3,FALSE)</f>
        <v>0</v>
      </c>
      <c r="F207" s="8">
        <v>4</v>
      </c>
      <c r="G207" s="12" t="str">
        <f>CONCATENATE(B193," &lt;&lt;&lt;vs.&gt;&gt;&gt; ",B195)</f>
        <v>Frei_17 - Frei_37 &lt;&lt;&lt;vs.&gt;&gt;&gt; Frei_19 - Frei_39</v>
      </c>
      <c r="H207" s="18"/>
      <c r="I207" s="14" t="s">
        <v>8</v>
      </c>
      <c r="J207" s="19"/>
    </row>
    <row r="208" spans="1:10" ht="15">
      <c r="A208" s="9">
        <f>IF(ROW($A$5)&gt;COUNT(D170:D174),"",SMALL(D170:D174,ROW($A$5)))</f>
        <v>1.0005</v>
      </c>
      <c r="B208" s="12" t="str">
        <f>IF($A208="","",INDEX(B192:B196,MATCH($A208,$A192:A196,0)))</f>
        <v>Frei_20 - Frei_40</v>
      </c>
      <c r="C208" s="13">
        <f>VLOOKUP(B208,B192:D196,2,FALSE)</f>
        <v>0</v>
      </c>
      <c r="D208" s="13">
        <f>VLOOKUP(B208,B192:D196,3,FALSE)</f>
        <v>0</v>
      </c>
      <c r="F208" s="8">
        <v>5</v>
      </c>
      <c r="G208" s="12" t="str">
        <f>CONCATENATE(B194," &lt;&lt;&lt;vs.&gt;&gt;&gt; ",B196)</f>
        <v>Frei_18 - Frei_38 &lt;&lt;&lt;vs.&gt;&gt;&gt; Frei_20 - Frei_40</v>
      </c>
      <c r="H208" s="18"/>
      <c r="I208" s="14" t="s">
        <v>8</v>
      </c>
      <c r="J208" s="19"/>
    </row>
    <row r="209" spans="6:10" ht="15">
      <c r="F209" s="8">
        <v>6</v>
      </c>
      <c r="G209" s="12" t="str">
        <f>CONCATENATE(B192," &lt;&lt;&lt;vs.&gt;&gt;&gt; ",B195)</f>
        <v>Frei_16 - Frei_36 &lt;&lt;&lt;vs.&gt;&gt;&gt; Frei_19 - Frei_39</v>
      </c>
      <c r="H209" s="18"/>
      <c r="I209" s="14" t="s">
        <v>8</v>
      </c>
      <c r="J209" s="19"/>
    </row>
    <row r="210" spans="6:10" ht="15">
      <c r="F210" s="8">
        <v>7</v>
      </c>
      <c r="G210" s="12" t="str">
        <f>CONCATENATE(B193," &lt;&lt;&lt;vs.&gt;&gt;&gt; ",B196)</f>
        <v>Frei_17 - Frei_37 &lt;&lt;&lt;vs.&gt;&gt;&gt; Frei_20 - Frei_40</v>
      </c>
      <c r="H210" s="18"/>
      <c r="I210" s="14" t="s">
        <v>8</v>
      </c>
      <c r="J210" s="19"/>
    </row>
    <row r="211" spans="6:10" ht="15">
      <c r="F211" s="8">
        <v>8</v>
      </c>
      <c r="G211" s="12" t="str">
        <f>CONCATENATE(B194," &lt;&lt;&lt;vs.&gt;&gt;&gt; ",B192)</f>
        <v>Frei_18 - Frei_38 &lt;&lt;&lt;vs.&gt;&gt;&gt; Frei_16 - Frei_36</v>
      </c>
      <c r="H211" s="18"/>
      <c r="I211" s="14" t="s">
        <v>8</v>
      </c>
      <c r="J211" s="19"/>
    </row>
    <row r="212" spans="6:10" ht="15">
      <c r="F212" s="8">
        <v>9</v>
      </c>
      <c r="G212" s="12" t="str">
        <f>CONCATENATE(B196," &lt;&lt;&lt;vs.&gt;&gt;&gt; ",B195)</f>
        <v>Frei_20 - Frei_40 &lt;&lt;&lt;vs.&gt;&gt;&gt; Frei_19 - Frei_39</v>
      </c>
      <c r="H212" s="18"/>
      <c r="I212" s="14" t="s">
        <v>8</v>
      </c>
      <c r="J212" s="19"/>
    </row>
    <row r="213" spans="6:10" ht="15">
      <c r="F213" s="8">
        <v>10</v>
      </c>
      <c r="G213" s="12" t="str">
        <f>CONCATENATE(B193," &lt;&lt;&lt;vs.&gt;&gt;&gt; ",B194)</f>
        <v>Frei_17 - Frei_37 &lt;&lt;&lt;vs.&gt;&gt;&gt; Frei_18 - Frei_38</v>
      </c>
      <c r="H213" s="18"/>
      <c r="I213" s="14" t="s">
        <v>8</v>
      </c>
      <c r="J213" s="19"/>
    </row>
    <row r="217" ht="15.75" thickBot="1"/>
    <row r="218" spans="1:10" ht="24" thickBot="1">
      <c r="A218" s="56" t="s">
        <v>104</v>
      </c>
      <c r="B218" s="57"/>
      <c r="C218" s="57"/>
      <c r="D218" s="57"/>
      <c r="E218" s="57"/>
      <c r="F218" s="57"/>
      <c r="G218" s="57"/>
      <c r="H218" s="57"/>
      <c r="I218" s="57"/>
      <c r="J218" s="58"/>
    </row>
    <row r="220" ht="15" hidden="1">
      <c r="A220" t="s">
        <v>129</v>
      </c>
    </row>
    <row r="221" ht="15" hidden="1">
      <c r="A221" t="s">
        <v>131</v>
      </c>
    </row>
    <row r="222" spans="1:3" ht="15" hidden="1">
      <c r="A222" t="s">
        <v>143</v>
      </c>
      <c r="C222" s="66">
        <f>ROUND(A48,0)</f>
        <v>1</v>
      </c>
    </row>
    <row r="223" spans="1:3" ht="15" hidden="1">
      <c r="A223" t="s">
        <v>144</v>
      </c>
      <c r="C223" s="66">
        <f>ROUND(A49,0)</f>
        <v>1</v>
      </c>
    </row>
    <row r="224" spans="1:3" ht="15" hidden="1">
      <c r="A224" t="s">
        <v>145</v>
      </c>
      <c r="C224" s="66">
        <f>ROUND(A99,0)</f>
        <v>1</v>
      </c>
    </row>
    <row r="225" spans="1:3" ht="15" hidden="1">
      <c r="A225" t="s">
        <v>146</v>
      </c>
      <c r="C225" s="66">
        <f>ROUND(A100,0)</f>
        <v>1</v>
      </c>
    </row>
    <row r="226" spans="1:3" ht="15" hidden="1">
      <c r="A226" t="s">
        <v>147</v>
      </c>
      <c r="C226" s="66">
        <f>ROUND(A151,0)</f>
        <v>1</v>
      </c>
    </row>
    <row r="227" spans="1:3" ht="15" hidden="1">
      <c r="A227" t="s">
        <v>148</v>
      </c>
      <c r="C227" s="66">
        <f>ROUND(A152,0)</f>
        <v>1</v>
      </c>
    </row>
    <row r="228" spans="1:3" ht="15" hidden="1">
      <c r="A228" t="s">
        <v>149</v>
      </c>
      <c r="C228" s="66">
        <f>ROUND(A205,0)</f>
        <v>1</v>
      </c>
    </row>
    <row r="229" spans="1:3" ht="15" hidden="1">
      <c r="A229" t="s">
        <v>150</v>
      </c>
      <c r="C229" s="66">
        <f>ROUND(A206,0)</f>
        <v>1</v>
      </c>
    </row>
    <row r="230" ht="15" hidden="1"/>
    <row r="231" ht="15" hidden="1">
      <c r="A231" t="s">
        <v>130</v>
      </c>
    </row>
    <row r="232" ht="15" hidden="1"/>
    <row r="235" spans="1:2" ht="15">
      <c r="A235" s="11" t="s">
        <v>46</v>
      </c>
      <c r="B235" s="11" t="s">
        <v>105</v>
      </c>
    </row>
    <row r="236" spans="1:2" ht="15">
      <c r="A236" s="9">
        <v>1</v>
      </c>
      <c r="B236" s="12" t="str">
        <f>B47</f>
        <v>Frei_1 - Frei_21</v>
      </c>
    </row>
    <row r="237" spans="1:2" ht="15">
      <c r="A237" s="9">
        <v>2</v>
      </c>
      <c r="B237" s="12" t="str">
        <f>B98</f>
        <v>Frei_6 - Frei_26</v>
      </c>
    </row>
    <row r="238" spans="1:2" ht="15">
      <c r="A238" s="9">
        <v>3</v>
      </c>
      <c r="B238" s="12" t="str">
        <f>B150</f>
        <v>Frei_11 - Frei_31</v>
      </c>
    </row>
    <row r="239" spans="1:2" ht="15">
      <c r="A239" s="9">
        <v>4</v>
      </c>
      <c r="B239" s="12" t="str">
        <f>B204</f>
        <v>Frei_16 - Frei_36</v>
      </c>
    </row>
    <row r="240" spans="1:2" ht="15">
      <c r="A240" s="9">
        <v>5</v>
      </c>
      <c r="B240" s="12" t="str">
        <f>B48</f>
        <v>Frei_2 - Frei_22</v>
      </c>
    </row>
    <row r="241" spans="1:2" ht="15">
      <c r="A241" s="9">
        <v>6</v>
      </c>
      <c r="B241" s="12" t="str">
        <f>B99</f>
        <v>Frei_7 - Frei_27</v>
      </c>
    </row>
    <row r="242" spans="1:2" ht="15">
      <c r="A242" s="9">
        <v>7</v>
      </c>
      <c r="B242" s="12" t="str">
        <f>B151</f>
        <v>Frei_12 - Frei_32</v>
      </c>
    </row>
    <row r="243" spans="1:2" ht="15">
      <c r="A243" s="9">
        <v>8</v>
      </c>
      <c r="B243" s="12" t="str">
        <f>B205</f>
        <v>Frei_17 - Frei_37</v>
      </c>
    </row>
    <row r="246" ht="15.75" thickBot="1">
      <c r="A246" s="61" t="s">
        <v>169</v>
      </c>
    </row>
    <row r="247" spans="1:2" ht="15">
      <c r="A247" s="122" t="str">
        <f>IF(C222=C223,"Achtung Team 5! 2. und 3. Platz Gruppe A sind gleich","")</f>
        <v>Achtung Team 5! 2. und 3. Platz Gruppe A sind gleich</v>
      </c>
      <c r="B247" s="123"/>
    </row>
    <row r="248" spans="1:2" ht="15">
      <c r="A248" s="124" t="str">
        <f>IF(C224=C225,"Achtung Team 6! 2. und 3. Platz Gruppe B sind gleich","")</f>
        <v>Achtung Team 6! 2. und 3. Platz Gruppe B sind gleich</v>
      </c>
      <c r="B248" s="125"/>
    </row>
    <row r="249" spans="1:2" ht="15">
      <c r="A249" s="124" t="str">
        <f>IF(C226=C227,"Achtung Team 7! 2. und 3. Platz Gruppe C sind gleich","")</f>
        <v>Achtung Team 7! 2. und 3. Platz Gruppe C sind gleich</v>
      </c>
      <c r="B249" s="125"/>
    </row>
    <row r="250" spans="1:2" ht="15.75" thickBot="1">
      <c r="A250" s="126" t="str">
        <f>IF(C228=C229,"Achtung Team 8! 2. und 3. Platz Gruppe D sind gleich","")</f>
        <v>Achtung Team 8! 2. und 3. Platz Gruppe D sind gleich</v>
      </c>
      <c r="B250" s="127"/>
    </row>
  </sheetData>
  <sheetProtection password="BEE8" sheet="1" selectLockedCells="1"/>
  <mergeCells count="5">
    <mergeCell ref="A41:J41"/>
    <mergeCell ref="A247:B247"/>
    <mergeCell ref="A248:B248"/>
    <mergeCell ref="A249:B249"/>
    <mergeCell ref="A250:B2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FF0000"/>
  </sheetPr>
  <dimension ref="B2:N34"/>
  <sheetViews>
    <sheetView showGridLines="0" zoomScalePageLayoutView="0" workbookViewId="0" topLeftCell="A1">
      <selection activeCell="E6" sqref="E6"/>
    </sheetView>
  </sheetViews>
  <sheetFormatPr defaultColWidth="11.421875" defaultRowHeight="15"/>
  <cols>
    <col min="2" max="2" width="13.7109375" style="0" bestFit="1" customWidth="1"/>
    <col min="3" max="3" width="40.421875" style="0" bestFit="1" customWidth="1"/>
    <col min="4" max="4" width="75.8515625" style="0" customWidth="1"/>
    <col min="5" max="5" width="3.28125" style="0" customWidth="1"/>
    <col min="6" max="6" width="2.00390625" style="0" customWidth="1"/>
    <col min="7" max="7" width="3.28125" style="0" customWidth="1"/>
    <col min="9" max="9" width="21.421875" style="0" hidden="1" customWidth="1"/>
    <col min="10" max="15" width="11.421875" style="0" hidden="1" customWidth="1"/>
  </cols>
  <sheetData>
    <row r="1" ht="15.75" thickBot="1"/>
    <row r="2" spans="2:10" ht="24" thickBot="1">
      <c r="B2" s="119" t="s">
        <v>124</v>
      </c>
      <c r="C2" s="120"/>
      <c r="D2" s="120"/>
      <c r="E2" s="120"/>
      <c r="F2" s="120"/>
      <c r="G2" s="121"/>
      <c r="H2" s="55"/>
      <c r="I2" s="55"/>
      <c r="J2" s="55"/>
    </row>
    <row r="4" spans="2:13" ht="23.25">
      <c r="B4" s="21" t="s">
        <v>36</v>
      </c>
      <c r="C4" s="20"/>
      <c r="D4" s="21"/>
      <c r="E4" s="20"/>
      <c r="F4" s="21"/>
      <c r="G4" s="20"/>
      <c r="M4" t="s">
        <v>53</v>
      </c>
    </row>
    <row r="5" spans="2:7" ht="15">
      <c r="B5" s="11" t="s">
        <v>26</v>
      </c>
      <c r="C5" s="11"/>
      <c r="D5" s="10" t="s">
        <v>25</v>
      </c>
      <c r="E5" s="15" t="s">
        <v>7</v>
      </c>
      <c r="F5" s="16"/>
      <c r="G5" s="17"/>
    </row>
    <row r="6" spans="2:14" ht="15">
      <c r="B6" s="8">
        <v>1</v>
      </c>
      <c r="C6" s="8" t="s">
        <v>32</v>
      </c>
      <c r="D6" s="12" t="str">
        <f>CONCATENATE(Vorrunde_12121212!B47," &lt;&lt;&lt;vs.&gt;&gt;&gt; ",Vorrunde_12121212!B99)</f>
        <v>Frei_1 - Frei_21 &lt;&lt;&lt;vs.&gt;&gt;&gt; Frei_7 - Frei_27</v>
      </c>
      <c r="E6" s="18"/>
      <c r="F6" s="14" t="s">
        <v>8</v>
      </c>
      <c r="G6" s="19"/>
      <c r="I6">
        <f>IF(E6=G6,"",IF(E6&gt;G6,Vorrunde_12121212!B47,Vorrunde_12121212!B99))</f>
      </c>
      <c r="M6" t="s">
        <v>54</v>
      </c>
      <c r="N6" t="s">
        <v>55</v>
      </c>
    </row>
    <row r="7" spans="2:14" ht="15">
      <c r="B7" s="8">
        <v>2</v>
      </c>
      <c r="C7" s="8" t="s">
        <v>33</v>
      </c>
      <c r="D7" s="12" t="str">
        <f>CONCATENATE(Vorrunde_12121212!B48," &lt;&lt;&lt;vs.&gt;&gt;&gt; ",Vorrunde_12121212!B98)</f>
        <v>Frei_2 - Frei_22 &lt;&lt;&lt;vs.&gt;&gt;&gt; Frei_6 - Frei_26</v>
      </c>
      <c r="E7" s="18"/>
      <c r="F7" s="14" t="s">
        <v>8</v>
      </c>
      <c r="G7" s="19"/>
      <c r="I7">
        <f>IF(E7=G7,"",IF(E7&gt;G7,Vorrunde_12121212!B48,Vorrunde_12121212!B98))</f>
      </c>
      <c r="M7">
        <v>1</v>
      </c>
      <c r="N7">
        <f>J25</f>
      </c>
    </row>
    <row r="8" spans="2:14" ht="15">
      <c r="B8" s="8">
        <v>3</v>
      </c>
      <c r="C8" s="8" t="s">
        <v>34</v>
      </c>
      <c r="D8" s="12" t="str">
        <f>CONCATENATE(Vorrunde_12121212!B150," &lt;&lt;&lt;vs.&gt;&gt;&gt; ",Vorrunde_12121212!B205)</f>
        <v>Frei_11 - Frei_31 &lt;&lt;&lt;vs.&gt;&gt;&gt; Frei_17 - Frei_37</v>
      </c>
      <c r="E8" s="18"/>
      <c r="F8" s="14" t="s">
        <v>8</v>
      </c>
      <c r="G8" s="19"/>
      <c r="I8">
        <f>IF(E8=G8,"",IF(E8&gt;G8,Vorrunde_12121212!B150,Vorrunde_12121212!B205))</f>
      </c>
      <c r="M8">
        <v>2</v>
      </c>
      <c r="N8">
        <f>I25</f>
      </c>
    </row>
    <row r="9" spans="2:14" ht="15">
      <c r="B9" s="8">
        <v>4</v>
      </c>
      <c r="C9" s="8" t="s">
        <v>35</v>
      </c>
      <c r="D9" s="12" t="str">
        <f>CONCATENATE(Vorrunde_12121212!B151," &lt;&lt;&lt;vs.&gt;&gt;&gt; ",Vorrunde_12121212!B204)</f>
        <v>Frei_12 - Frei_32 &lt;&lt;&lt;vs.&gt;&gt;&gt; Frei_16 - Frei_36</v>
      </c>
      <c r="E9" s="18"/>
      <c r="F9" s="14" t="s">
        <v>8</v>
      </c>
      <c r="G9" s="19"/>
      <c r="I9">
        <f>IF(E9=G9,"",IF(E9&gt;G9,Vorrunde_12121212!B151,Vorrunde_12121212!B204))</f>
      </c>
      <c r="M9">
        <v>3</v>
      </c>
      <c r="N9">
        <f>I20</f>
      </c>
    </row>
    <row r="10" spans="13:14" ht="15">
      <c r="M10">
        <v>4</v>
      </c>
      <c r="N10">
        <f>J20</f>
      </c>
    </row>
    <row r="12" spans="2:7" ht="23.25">
      <c r="B12" s="21" t="s">
        <v>37</v>
      </c>
      <c r="C12" s="20"/>
      <c r="D12" s="21"/>
      <c r="E12" s="20"/>
      <c r="F12" s="21"/>
      <c r="G12" s="20"/>
    </row>
    <row r="13" spans="2:10" ht="15">
      <c r="B13" s="11" t="s">
        <v>26</v>
      </c>
      <c r="C13" s="11"/>
      <c r="D13" s="10" t="s">
        <v>25</v>
      </c>
      <c r="E13" s="15" t="s">
        <v>7</v>
      </c>
      <c r="F13" s="16"/>
      <c r="G13" s="17"/>
      <c r="I13" t="s">
        <v>40</v>
      </c>
      <c r="J13" t="s">
        <v>41</v>
      </c>
    </row>
    <row r="14" spans="2:10" ht="15">
      <c r="B14" s="8">
        <v>1</v>
      </c>
      <c r="C14" s="8" t="s">
        <v>42</v>
      </c>
      <c r="D14" s="12" t="str">
        <f>CONCATENATE(I6," &lt;&lt;&lt;vs.&gt;&gt;&gt; ",I8)</f>
        <v> &lt;&lt;&lt;vs.&gt;&gt;&gt; </v>
      </c>
      <c r="E14" s="18"/>
      <c r="F14" s="14" t="s">
        <v>8</v>
      </c>
      <c r="G14" s="19"/>
      <c r="I14">
        <f>IF(E14=G14,"",IF(E14&gt;G14,I6,I8))</f>
      </c>
      <c r="J14">
        <f>IF(E14=G14,"",IF(E14&lt;G14,I6,I8))</f>
      </c>
    </row>
    <row r="15" spans="2:10" ht="15">
      <c r="B15" s="8">
        <v>2</v>
      </c>
      <c r="C15" s="8" t="s">
        <v>43</v>
      </c>
      <c r="D15" s="12" t="str">
        <f>CONCATENATE(I7," &lt;&lt;&lt;vs.&gt;&gt;&gt; ",I9)</f>
        <v> &lt;&lt;&lt;vs.&gt;&gt;&gt; </v>
      </c>
      <c r="E15" s="18"/>
      <c r="F15" s="14" t="s">
        <v>8</v>
      </c>
      <c r="G15" s="19"/>
      <c r="I15">
        <f>IF(E15=G15,"",IF(E15&gt;G15,I7,I9))</f>
      </c>
      <c r="J15">
        <f>IF(E15=G15,"",IF(E15&lt;G15,I7,I9))</f>
      </c>
    </row>
    <row r="18" spans="2:7" ht="23.25">
      <c r="B18" s="21" t="s">
        <v>38</v>
      </c>
      <c r="C18" s="20"/>
      <c r="D18" s="21"/>
      <c r="E18" s="20"/>
      <c r="F18" s="21"/>
      <c r="G18" s="20"/>
    </row>
    <row r="19" spans="2:7" ht="15">
      <c r="B19" s="11" t="s">
        <v>26</v>
      </c>
      <c r="C19" s="11"/>
      <c r="D19" s="10" t="s">
        <v>25</v>
      </c>
      <c r="E19" s="15" t="s">
        <v>7</v>
      </c>
      <c r="F19" s="16"/>
      <c r="G19" s="17"/>
    </row>
    <row r="20" spans="2:10" ht="15">
      <c r="B20" s="8">
        <v>1</v>
      </c>
      <c r="C20" s="8" t="s">
        <v>44</v>
      </c>
      <c r="D20" s="12" t="str">
        <f>CONCATENATE(J14," &lt;&lt;&lt;vs.&gt;&gt;&gt; ",J15)</f>
        <v> &lt;&lt;&lt;vs.&gt;&gt;&gt; </v>
      </c>
      <c r="E20" s="18"/>
      <c r="F20" s="14" t="s">
        <v>8</v>
      </c>
      <c r="G20" s="19"/>
      <c r="I20">
        <f>IF(E20=G20,"",IF(E20&gt;G20,J14,J15))</f>
      </c>
      <c r="J20">
        <f>IF(E20=G20,"",IF(E20&gt;G20,J15,J14))</f>
      </c>
    </row>
    <row r="23" spans="2:7" ht="23.25">
      <c r="B23" s="21" t="s">
        <v>39</v>
      </c>
      <c r="C23" s="20"/>
      <c r="D23" s="21"/>
      <c r="E23" s="20"/>
      <c r="F23" s="21"/>
      <c r="G23" s="20"/>
    </row>
    <row r="24" spans="2:7" ht="15">
      <c r="B24" s="11" t="s">
        <v>26</v>
      </c>
      <c r="C24" s="11"/>
      <c r="D24" s="10" t="s">
        <v>25</v>
      </c>
      <c r="E24" s="15" t="s">
        <v>7</v>
      </c>
      <c r="F24" s="16"/>
      <c r="G24" s="17"/>
    </row>
    <row r="25" spans="2:10" ht="15">
      <c r="B25" s="8">
        <v>1</v>
      </c>
      <c r="C25" s="8" t="s">
        <v>45</v>
      </c>
      <c r="D25" s="12" t="str">
        <f>CONCATENATE(I14," &lt;&lt;&lt;vs.&gt;&gt;&gt; ",I15)</f>
        <v> &lt;&lt;&lt;vs.&gt;&gt;&gt; </v>
      </c>
      <c r="E25" s="18"/>
      <c r="F25" s="14" t="s">
        <v>8</v>
      </c>
      <c r="G25" s="19"/>
      <c r="I25">
        <f>IF(E25=G25,"",IF(E25&lt;G25,I14,I15))</f>
      </c>
      <c r="J25">
        <f>IF(E25=G25,"",IF(E25&gt;G25,I14,I15))</f>
      </c>
    </row>
    <row r="29" spans="2:7" ht="26.25">
      <c r="B29" s="128" t="s">
        <v>59</v>
      </c>
      <c r="C29" s="128"/>
      <c r="D29" s="128"/>
      <c r="E29" s="128"/>
      <c r="F29" s="128"/>
      <c r="G29" s="128"/>
    </row>
    <row r="30" spans="2:7" ht="32.25">
      <c r="B30" s="129" t="str">
        <f>CONCATENATE("Platz 1:"," ",J25,"")</f>
        <v>Platz 1: </v>
      </c>
      <c r="C30" s="129"/>
      <c r="D30" s="129"/>
      <c r="E30" s="129"/>
      <c r="F30" s="129"/>
      <c r="G30" s="129"/>
    </row>
    <row r="32" spans="2:7" ht="21">
      <c r="B32" s="51" t="s">
        <v>56</v>
      </c>
      <c r="C32" s="51">
        <f>N8</f>
      </c>
      <c r="D32" s="51"/>
      <c r="E32" s="51"/>
      <c r="F32" s="51"/>
      <c r="G32" s="51"/>
    </row>
    <row r="33" spans="2:7" ht="21">
      <c r="B33" s="51" t="s">
        <v>57</v>
      </c>
      <c r="C33" s="51">
        <f>N9</f>
      </c>
      <c r="D33" s="51"/>
      <c r="E33" s="51"/>
      <c r="F33" s="51"/>
      <c r="G33" s="51"/>
    </row>
    <row r="34" spans="2:7" ht="21">
      <c r="B34" s="51" t="s">
        <v>58</v>
      </c>
      <c r="C34" s="51">
        <f>N10</f>
      </c>
      <c r="D34" s="51"/>
      <c r="E34" s="51"/>
      <c r="F34" s="51"/>
      <c r="G34" s="51"/>
    </row>
  </sheetData>
  <sheetProtection password="BEE8" sheet="1" selectLockedCells="1"/>
  <mergeCells count="3">
    <mergeCell ref="B29:G29"/>
    <mergeCell ref="B30:G30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rgb="FFFFC000"/>
  </sheetPr>
  <dimension ref="A1:IV202"/>
  <sheetViews>
    <sheetView showGridLines="0" zoomScale="95" zoomScaleNormal="95" zoomScalePageLayoutView="0" workbookViewId="0" topLeftCell="A40">
      <selection activeCell="H47" sqref="H47"/>
    </sheetView>
  </sheetViews>
  <sheetFormatPr defaultColWidth="11.421875" defaultRowHeight="15"/>
  <cols>
    <col min="1" max="1" width="7.28125" style="0" customWidth="1"/>
    <col min="2" max="2" width="39.28125" style="0" customWidth="1"/>
    <col min="3" max="3" width="9.140625" style="0" customWidth="1"/>
    <col min="4" max="5" width="10.7109375" style="0" customWidth="1"/>
    <col min="6" max="6" width="9.140625" style="0" customWidth="1"/>
    <col min="7" max="7" width="63.00390625" style="0" customWidth="1"/>
    <col min="8" max="8" width="3.28125" style="0" customWidth="1"/>
    <col min="9" max="9" width="2.00390625" style="0" customWidth="1"/>
    <col min="10" max="10" width="3.28125" style="0" customWidth="1"/>
    <col min="12" max="12" width="23.00390625" style="0" customWidth="1"/>
  </cols>
  <sheetData>
    <row r="1" ht="15" hidden="1">
      <c r="A1" s="23"/>
    </row>
    <row r="2" ht="15" hidden="1">
      <c r="A2" s="24"/>
    </row>
    <row r="3" ht="15" hidden="1">
      <c r="A3" s="24"/>
    </row>
    <row r="4" ht="15" hidden="1">
      <c r="A4" s="24"/>
    </row>
    <row r="5" ht="15" hidden="1">
      <c r="A5" s="24"/>
    </row>
    <row r="6" ht="15" hidden="1">
      <c r="A6" s="24"/>
    </row>
    <row r="7" ht="15" hidden="1">
      <c r="A7" s="24"/>
    </row>
    <row r="8" ht="15.75" hidden="1" thickBot="1">
      <c r="A8" s="25"/>
    </row>
    <row r="9" ht="15" hidden="1">
      <c r="A9" t="s">
        <v>20</v>
      </c>
    </row>
    <row r="10" spans="1:3" ht="15" hidden="1">
      <c r="A10" t="s">
        <v>102</v>
      </c>
      <c r="C10" t="s">
        <v>103</v>
      </c>
    </row>
    <row r="11" spans="1:4" ht="15" hidden="1">
      <c r="A11" s="4" t="s">
        <v>16</v>
      </c>
      <c r="B11" s="4" t="s">
        <v>17</v>
      </c>
      <c r="C11" s="4" t="s">
        <v>18</v>
      </c>
      <c r="D11" s="4" t="s">
        <v>19</v>
      </c>
    </row>
    <row r="12" spans="1:4" ht="15" hidden="1">
      <c r="A12" s="4">
        <f>RANK(C34,C34:C38,0)</f>
        <v>1</v>
      </c>
      <c r="B12" s="4">
        <f>RANK(D34,D34:D38,0)</f>
        <v>1</v>
      </c>
      <c r="C12" s="4">
        <f>A12+(B12/10)</f>
        <v>1.1</v>
      </c>
      <c r="D12" s="7">
        <f>IF(C12="","",RANK(C12,C12:C16,1)+ROW($A$1)%%)</f>
        <v>1.0001</v>
      </c>
    </row>
    <row r="13" spans="1:4" ht="15" hidden="1">
      <c r="A13" s="4">
        <f>RANK(C35,C34:C38,0)</f>
        <v>1</v>
      </c>
      <c r="B13" s="4">
        <f>RANK(D35,D34:D38,0)</f>
        <v>1</v>
      </c>
      <c r="C13" s="4">
        <f>A13+(B13/10)</f>
        <v>1.1</v>
      </c>
      <c r="D13" s="7">
        <f>IF(C13="","",RANK(C13,C12:C16,1)+ROW($A$2)%%)</f>
        <v>1.0002</v>
      </c>
    </row>
    <row r="14" spans="1:4" ht="15" hidden="1">
      <c r="A14" s="4">
        <f>RANK(C36,C34:C38,0)</f>
        <v>1</v>
      </c>
      <c r="B14" s="4">
        <f>RANK(D36,D34:D38,0)</f>
        <v>1</v>
      </c>
      <c r="C14" s="4">
        <f>A14+(B14/10)</f>
        <v>1.1</v>
      </c>
      <c r="D14" s="7">
        <f>IF(C14="","",RANK(C14,C12:C16,1)+ROW($A$3)%%)</f>
        <v>1.0003</v>
      </c>
    </row>
    <row r="15" spans="1:4" ht="15" hidden="1">
      <c r="A15" s="4">
        <f>RANK(C37,C34:C38,0)</f>
        <v>1</v>
      </c>
      <c r="B15" s="4">
        <f>RANK(D37,D34:D38,0)</f>
        <v>1</v>
      </c>
      <c r="C15" s="4">
        <f>A15+(B15/10)</f>
        <v>1.1</v>
      </c>
      <c r="D15" s="7">
        <f>IF(C15="","",RANK(C15,C12:C16,1)+ROW($A$4)%%)</f>
        <v>1.0004</v>
      </c>
    </row>
    <row r="16" spans="1:4" ht="15" hidden="1">
      <c r="A16" s="4">
        <f>RANK(C38,C34:C38,0)</f>
        <v>1</v>
      </c>
      <c r="B16" s="4">
        <f>RANK(D38,D34:D38,0)</f>
        <v>1</v>
      </c>
      <c r="C16" s="4">
        <f>A16+(B16/10)</f>
        <v>1.1</v>
      </c>
      <c r="D16" s="7">
        <f>IF(C16="","",RANK(C16,C12:C16,1)+ROW($A$5)%%)</f>
        <v>1.0005</v>
      </c>
    </row>
    <row r="17" ht="15" hidden="1"/>
    <row r="18" ht="15" hidden="1"/>
    <row r="19" spans="1:3" ht="15" hidden="1">
      <c r="A19" s="3" t="s">
        <v>23</v>
      </c>
      <c r="B19" s="3"/>
      <c r="C19" t="s">
        <v>26</v>
      </c>
    </row>
    <row r="20" spans="1:3" ht="15" hidden="1">
      <c r="A20" s="3">
        <f>IF(H47&gt;J47,Spielernamen_Einstellungen!$B$23,0)</f>
        <v>0</v>
      </c>
      <c r="B20" s="3">
        <f>IF(J47&gt;H47,Spielernamen_Einstellungen!$B$23,0)</f>
        <v>0</v>
      </c>
      <c r="C20">
        <v>1</v>
      </c>
    </row>
    <row r="21" spans="1:3" ht="15" hidden="1">
      <c r="A21" s="3">
        <f>IF(H48&gt;J48,Spielernamen_Einstellungen!$B$23,0)</f>
        <v>0</v>
      </c>
      <c r="B21" s="3">
        <f>IF(J48&gt;H48,Spielernamen_Einstellungen!$B$23,0)</f>
        <v>0</v>
      </c>
      <c r="C21">
        <v>2</v>
      </c>
    </row>
    <row r="22" spans="1:3" ht="15" hidden="1">
      <c r="A22" s="3">
        <f>IF(H49&gt;J49,Spielernamen_Einstellungen!$B$23,0)</f>
        <v>0</v>
      </c>
      <c r="B22" s="3">
        <f>IF(J49&gt;H49,Spielernamen_Einstellungen!$B$23,0)</f>
        <v>0</v>
      </c>
      <c r="C22">
        <v>3</v>
      </c>
    </row>
    <row r="23" spans="1:3" ht="15" hidden="1">
      <c r="A23" s="3">
        <f>IF(H50&gt;J50,Spielernamen_Einstellungen!$B$23,0)</f>
        <v>0</v>
      </c>
      <c r="B23" s="3">
        <f>IF(J50&gt;H50,Spielernamen_Einstellungen!$B$23,0)</f>
        <v>0</v>
      </c>
      <c r="C23">
        <v>4</v>
      </c>
    </row>
    <row r="24" spans="1:3" ht="15" hidden="1">
      <c r="A24" s="3">
        <f>IF(H51&gt;J51,Spielernamen_Einstellungen!$B$23,0)</f>
        <v>0</v>
      </c>
      <c r="B24" s="3">
        <f>IF(J51&gt;H51,Spielernamen_Einstellungen!$B$23,0)</f>
        <v>0</v>
      </c>
      <c r="C24">
        <v>5</v>
      </c>
    </row>
    <row r="25" spans="1:3" ht="15" hidden="1">
      <c r="A25" s="3">
        <f>IF(H52&gt;J52,Spielernamen_Einstellungen!$B$23,0)</f>
        <v>0</v>
      </c>
      <c r="B25" s="3">
        <f>IF(J52&gt;H52,Spielernamen_Einstellungen!$B$23,0)</f>
        <v>0</v>
      </c>
      <c r="C25">
        <v>6</v>
      </c>
    </row>
    <row r="26" spans="1:3" ht="15" hidden="1">
      <c r="A26" s="3">
        <f>IF(H53&gt;J53,Spielernamen_Einstellungen!$B$23,0)</f>
        <v>0</v>
      </c>
      <c r="B26" s="3">
        <f>IF(J53&gt;H53,Spielernamen_Einstellungen!$B$23,0)</f>
        <v>0</v>
      </c>
      <c r="C26">
        <v>7</v>
      </c>
    </row>
    <row r="27" spans="1:3" ht="15" hidden="1">
      <c r="A27" s="3">
        <f>IF(H54&gt;J54,Spielernamen_Einstellungen!$B$23,0)</f>
        <v>0</v>
      </c>
      <c r="B27" s="3">
        <f>IF(J54&gt;H54,Spielernamen_Einstellungen!$B$23,0)</f>
        <v>0</v>
      </c>
      <c r="C27">
        <v>8</v>
      </c>
    </row>
    <row r="28" spans="1:3" ht="15" hidden="1">
      <c r="A28" s="3">
        <f>IF(H55&gt;J55,Spielernamen_Einstellungen!$B$23,0)</f>
        <v>0</v>
      </c>
      <c r="B28" s="3">
        <f>IF(J55&gt;H55,Spielernamen_Einstellungen!$B$23,0)</f>
        <v>0</v>
      </c>
      <c r="C28">
        <v>9</v>
      </c>
    </row>
    <row r="29" spans="1:3" ht="15" hidden="1">
      <c r="A29" s="3">
        <f>IF(H56&gt;J56,Spielernamen_Einstellungen!$B$23,0)</f>
        <v>0</v>
      </c>
      <c r="B29" s="3">
        <f>IF(J56&gt;H56,Spielernamen_Einstellungen!$B$23,0)</f>
        <v>0</v>
      </c>
      <c r="C29">
        <v>10</v>
      </c>
    </row>
    <row r="30" ht="15" hidden="1"/>
    <row r="31" ht="15" hidden="1"/>
    <row r="32" spans="1:4" ht="15" hidden="1">
      <c r="A32" s="5"/>
      <c r="B32" s="22" t="s">
        <v>27</v>
      </c>
      <c r="C32" s="5"/>
      <c r="D32" s="5"/>
    </row>
    <row r="33" spans="1:4" ht="15" hidden="1">
      <c r="A33" s="5" t="s">
        <v>15</v>
      </c>
      <c r="B33" s="5"/>
      <c r="C33" s="5" t="s">
        <v>6</v>
      </c>
      <c r="D33" s="5" t="s">
        <v>9</v>
      </c>
    </row>
    <row r="34" spans="1:4" ht="15" hidden="1">
      <c r="A34" s="6">
        <f>D12</f>
        <v>1.0001</v>
      </c>
      <c r="B34" s="5" t="str">
        <f>Spielernamen_Einstellungen!I44</f>
        <v>Frei_1 - Frei_21</v>
      </c>
      <c r="C34" s="6">
        <f>A20+A22+A25+B27</f>
        <v>0</v>
      </c>
      <c r="D34" s="5">
        <f>H47+H49+H52-J47-J49-J52+J54-H54</f>
        <v>0</v>
      </c>
    </row>
    <row r="35" spans="1:4" ht="15" hidden="1">
      <c r="A35" s="6">
        <f>D13</f>
        <v>1.0002</v>
      </c>
      <c r="B35" s="5" t="str">
        <f>Spielernamen_Einstellungen!I45</f>
        <v>Frei_2 - Frei_22</v>
      </c>
      <c r="C35" s="5">
        <f>B20+A23+A26+A29</f>
        <v>0</v>
      </c>
      <c r="D35" s="5">
        <f>J47-H47+H50-J50+H53-J53+H56-J56</f>
        <v>0</v>
      </c>
    </row>
    <row r="36" spans="1:4" ht="15" hidden="1">
      <c r="A36" s="6">
        <f>D14</f>
        <v>1.0003</v>
      </c>
      <c r="B36" s="5" t="str">
        <f>Spielernamen_Einstellungen!I46</f>
        <v>Frei_3 - Frei_23</v>
      </c>
      <c r="C36" s="5">
        <f>A21+A24+A27+B29</f>
        <v>0</v>
      </c>
      <c r="D36" s="5">
        <f>H48-J48+H51-J51+H54-J54+J56-H56</f>
        <v>0</v>
      </c>
    </row>
    <row r="37" spans="1:4" ht="15" hidden="1">
      <c r="A37" s="6">
        <f>D15</f>
        <v>1.0004</v>
      </c>
      <c r="B37" s="5" t="str">
        <f>Spielernamen_Einstellungen!I47</f>
        <v>Frei_4 - Frei_24</v>
      </c>
      <c r="C37" s="5">
        <f>B21+B23+B25+B28</f>
        <v>0</v>
      </c>
      <c r="D37" s="5">
        <f>J48-H48+J50-H50+J52-H52+J55-H55</f>
        <v>0</v>
      </c>
    </row>
    <row r="38" spans="1:4" ht="15" hidden="1">
      <c r="A38" s="6">
        <f>D16</f>
        <v>1.0005</v>
      </c>
      <c r="B38" s="5" t="str">
        <f>Spielernamen_Einstellungen!I48</f>
        <v>Frei_5 - Frei_25</v>
      </c>
      <c r="C38" s="5">
        <f>B22+B24+B26+A28</f>
        <v>0</v>
      </c>
      <c r="D38" s="5">
        <f>J49-H49+J51-H51+J53-H53+H55-J55</f>
        <v>0</v>
      </c>
    </row>
    <row r="39" ht="15" hidden="1">
      <c r="A39" t="s">
        <v>21</v>
      </c>
    </row>
    <row r="40" ht="15.75" thickBot="1"/>
    <row r="41" spans="1:10" ht="24" thickBot="1">
      <c r="A41" s="119" t="s">
        <v>126</v>
      </c>
      <c r="B41" s="120"/>
      <c r="C41" s="120"/>
      <c r="D41" s="120"/>
      <c r="E41" s="120"/>
      <c r="F41" s="120"/>
      <c r="G41" s="120"/>
      <c r="H41" s="120"/>
      <c r="I41" s="120"/>
      <c r="J41" s="121"/>
    </row>
    <row r="44" spans="1:10" ht="23.25">
      <c r="A44" s="21" t="s">
        <v>4</v>
      </c>
      <c r="B44" s="20"/>
      <c r="C44" s="20"/>
      <c r="D44" s="20"/>
      <c r="E44" s="20"/>
      <c r="F44" s="20"/>
      <c r="G44" s="20"/>
      <c r="H44" s="20"/>
      <c r="I44" s="20"/>
      <c r="J44" s="20"/>
    </row>
    <row r="46" spans="1:10" ht="15">
      <c r="A46" s="11" t="s">
        <v>24</v>
      </c>
      <c r="B46" s="11" t="s">
        <v>22</v>
      </c>
      <c r="C46" s="11" t="s">
        <v>6</v>
      </c>
      <c r="D46" s="11" t="s">
        <v>9</v>
      </c>
      <c r="F46" s="11" t="s">
        <v>26</v>
      </c>
      <c r="G46" s="10" t="s">
        <v>25</v>
      </c>
      <c r="H46" s="15" t="s">
        <v>7</v>
      </c>
      <c r="I46" s="16"/>
      <c r="J46" s="17"/>
    </row>
    <row r="47" spans="1:10" ht="15">
      <c r="A47" s="9">
        <f>IF(ROW($A$1)&gt;COUNT(D12:D16),"",SMALL(D12:D16,ROW($A$1)))</f>
        <v>1.0001</v>
      </c>
      <c r="B47" s="12" t="str">
        <f>IF($A47="","",INDEX(B34:B38,MATCH($A47,$A34:A38,0)))</f>
        <v>Frei_1 - Frei_21</v>
      </c>
      <c r="C47" s="13">
        <f>VLOOKUP(B47,B34:D38,2,FALSE)</f>
        <v>0</v>
      </c>
      <c r="D47" s="13">
        <f>VLOOKUP(B47,B34:D38,3,FALSE)</f>
        <v>0</v>
      </c>
      <c r="F47" s="8">
        <v>1</v>
      </c>
      <c r="G47" s="12" t="str">
        <f>CONCATENATE(B34," &lt;&lt;&lt;vs.&gt;&gt;&gt; ",B35)</f>
        <v>Frei_1 - Frei_21 &lt;&lt;&lt;vs.&gt;&gt;&gt; Frei_2 - Frei_22</v>
      </c>
      <c r="H47" s="18"/>
      <c r="I47" s="14" t="s">
        <v>8</v>
      </c>
      <c r="J47" s="19"/>
    </row>
    <row r="48" spans="1:10" ht="15">
      <c r="A48" s="9">
        <f>IF(ROW($A$2)&gt;COUNT(D12:D16),"",SMALL(D12:D16,ROW($A$2)))</f>
        <v>1.0002</v>
      </c>
      <c r="B48" s="12" t="str">
        <f>IF($A48="","",INDEX(B34:B38,MATCH($A48,$A34:A38,0)))</f>
        <v>Frei_2 - Frei_22</v>
      </c>
      <c r="C48" s="13">
        <f>VLOOKUP(B48,B34:D38,2,FALSE)</f>
        <v>0</v>
      </c>
      <c r="D48" s="13">
        <f>VLOOKUP(B48,B34:D38,3,FALSE)</f>
        <v>0</v>
      </c>
      <c r="F48" s="8">
        <v>2</v>
      </c>
      <c r="G48" s="12" t="str">
        <f>CONCATENATE(B36," &lt;&lt;&lt;vs.&gt;&gt;&gt; ",B37)</f>
        <v>Frei_3 - Frei_23 &lt;&lt;&lt;vs.&gt;&gt;&gt; Frei_4 - Frei_24</v>
      </c>
      <c r="H48" s="18"/>
      <c r="I48" s="14" t="s">
        <v>8</v>
      </c>
      <c r="J48" s="19"/>
    </row>
    <row r="49" spans="1:10" ht="15">
      <c r="A49" s="9">
        <f>IF(ROW($A$3)&gt;COUNT(D12:D16),"",SMALL(D12:D16,ROW($A$3)))</f>
        <v>1.0003</v>
      </c>
      <c r="B49" s="12" t="str">
        <f>IF($A49="","",INDEX(B34:B38,MATCH($A49,$A34:A38,0)))</f>
        <v>Frei_3 - Frei_23</v>
      </c>
      <c r="C49" s="13">
        <f>VLOOKUP(B49,B34:D38,2,FALSE)</f>
        <v>0</v>
      </c>
      <c r="D49" s="13">
        <f>VLOOKUP(B49,B34:D38,3,FALSE)</f>
        <v>0</v>
      </c>
      <c r="F49" s="8">
        <v>3</v>
      </c>
      <c r="G49" s="12" t="str">
        <f>CONCATENATE(B34," &lt;&lt;&lt;vs.&gt;&gt;&gt; ",B38)</f>
        <v>Frei_1 - Frei_21 &lt;&lt;&lt;vs.&gt;&gt;&gt; Frei_5 - Frei_25</v>
      </c>
      <c r="H49" s="18"/>
      <c r="I49" s="14" t="s">
        <v>8</v>
      </c>
      <c r="J49" s="19"/>
    </row>
    <row r="50" spans="1:10" ht="15">
      <c r="A50" s="9">
        <f>IF(ROW($A$4)&gt;COUNT(D12:D16),"",SMALL(D12:D16,ROW($A$4)))</f>
        <v>1.0004</v>
      </c>
      <c r="B50" s="12" t="str">
        <f>IF($A50="","",INDEX(B34:B38,MATCH($A50,$A34:A38,0)))</f>
        <v>Frei_4 - Frei_24</v>
      </c>
      <c r="C50" s="13">
        <f>VLOOKUP(B50,B34:D38,2,FALSE)</f>
        <v>0</v>
      </c>
      <c r="D50" s="13">
        <f>VLOOKUP(B50,B34:D38,3,FALSE)</f>
        <v>0</v>
      </c>
      <c r="F50" s="8">
        <v>4</v>
      </c>
      <c r="G50" s="12" t="str">
        <f>CONCATENATE(B35," &lt;&lt;&lt;vs.&gt;&gt;&gt; ",B37)</f>
        <v>Frei_2 - Frei_22 &lt;&lt;&lt;vs.&gt;&gt;&gt; Frei_4 - Frei_24</v>
      </c>
      <c r="H50" s="18"/>
      <c r="I50" s="14" t="s">
        <v>8</v>
      </c>
      <c r="J50" s="19"/>
    </row>
    <row r="51" spans="1:10" ht="15">
      <c r="A51" s="9">
        <f>IF(ROW($A$5)&gt;COUNT(D12:D16),"",SMALL(D12:D16,ROW($A$5)))</f>
        <v>1.0005</v>
      </c>
      <c r="B51" s="12" t="str">
        <f>IF($A51="","",INDEX(B34:B38,MATCH($A51,$A34:A38,0)))</f>
        <v>Frei_5 - Frei_25</v>
      </c>
      <c r="C51" s="13">
        <f>VLOOKUP(B51,B34:D38,2,FALSE)</f>
        <v>0</v>
      </c>
      <c r="D51" s="13">
        <f>VLOOKUP(B51,B34:D38,3,FALSE)</f>
        <v>0</v>
      </c>
      <c r="F51" s="8">
        <v>5</v>
      </c>
      <c r="G51" s="12" t="str">
        <f>CONCATENATE(B36," &lt;&lt;&lt;vs.&gt;&gt;&gt; ",B38)</f>
        <v>Frei_3 - Frei_23 &lt;&lt;&lt;vs.&gt;&gt;&gt; Frei_5 - Frei_25</v>
      </c>
      <c r="H51" s="18"/>
      <c r="I51" s="14" t="s">
        <v>8</v>
      </c>
      <c r="J51" s="19"/>
    </row>
    <row r="52" spans="6:10" ht="15">
      <c r="F52" s="8">
        <v>6</v>
      </c>
      <c r="G52" s="12" t="str">
        <f>CONCATENATE(B34," &lt;&lt;&lt;vs.&gt;&gt;&gt; ",B37)</f>
        <v>Frei_1 - Frei_21 &lt;&lt;&lt;vs.&gt;&gt;&gt; Frei_4 - Frei_24</v>
      </c>
      <c r="H52" s="18"/>
      <c r="I52" s="14" t="s">
        <v>8</v>
      </c>
      <c r="J52" s="19"/>
    </row>
    <row r="53" spans="6:10" ht="15">
      <c r="F53" s="8">
        <v>7</v>
      </c>
      <c r="G53" s="12" t="str">
        <f>CONCATENATE(B35," &lt;&lt;&lt;vs.&gt;&gt;&gt; ",B38)</f>
        <v>Frei_2 - Frei_22 &lt;&lt;&lt;vs.&gt;&gt;&gt; Frei_5 - Frei_25</v>
      </c>
      <c r="H53" s="18"/>
      <c r="I53" s="14" t="s">
        <v>8</v>
      </c>
      <c r="J53" s="19"/>
    </row>
    <row r="54" spans="6:10" ht="15">
      <c r="F54" s="8">
        <v>8</v>
      </c>
      <c r="G54" s="12" t="str">
        <f>CONCATENATE(B36," &lt;&lt;&lt;vs.&gt;&gt;&gt; ",B34)</f>
        <v>Frei_3 - Frei_23 &lt;&lt;&lt;vs.&gt;&gt;&gt; Frei_1 - Frei_21</v>
      </c>
      <c r="H54" s="18"/>
      <c r="I54" s="14" t="s">
        <v>8</v>
      </c>
      <c r="J54" s="19"/>
    </row>
    <row r="55" spans="6:10" ht="15">
      <c r="F55" s="8">
        <v>9</v>
      </c>
      <c r="G55" s="12" t="str">
        <f>CONCATENATE(B38," &lt;&lt;&lt;vs.&gt;&gt;&gt; ",B37)</f>
        <v>Frei_5 - Frei_25 &lt;&lt;&lt;vs.&gt;&gt;&gt; Frei_4 - Frei_24</v>
      </c>
      <c r="H55" s="18"/>
      <c r="I55" s="14" t="s">
        <v>8</v>
      </c>
      <c r="J55" s="19"/>
    </row>
    <row r="56" spans="6:10" ht="15">
      <c r="F56" s="8">
        <v>10</v>
      </c>
      <c r="G56" s="12" t="str">
        <f>CONCATENATE(B35," &lt;&lt;&lt;vs.&gt;&gt;&gt; ",B36)</f>
        <v>Frei_2 - Frei_22 &lt;&lt;&lt;vs.&gt;&gt;&gt; Frei_3 - Frei_23</v>
      </c>
      <c r="H56" s="18"/>
      <c r="I56" s="14" t="s">
        <v>8</v>
      </c>
      <c r="J56" s="19"/>
    </row>
    <row r="59" ht="15" hidden="1"/>
    <row r="60" ht="15" hidden="1"/>
    <row r="61" ht="15" hidden="1">
      <c r="A61" t="s">
        <v>20</v>
      </c>
    </row>
    <row r="62" spans="1:3" ht="15" hidden="1">
      <c r="A62" t="s">
        <v>102</v>
      </c>
      <c r="C62" t="s">
        <v>103</v>
      </c>
    </row>
    <row r="63" spans="1:4" ht="15" hidden="1">
      <c r="A63" s="4" t="s">
        <v>16</v>
      </c>
      <c r="B63" s="4" t="s">
        <v>17</v>
      </c>
      <c r="C63" s="4" t="s">
        <v>18</v>
      </c>
      <c r="D63" s="4" t="s">
        <v>19</v>
      </c>
    </row>
    <row r="64" spans="1:4" ht="15" hidden="1">
      <c r="A64" s="4">
        <f>RANK(C86,C86:C90,0)</f>
        <v>1</v>
      </c>
      <c r="B64" s="4">
        <f>RANK(D86,D86:D90,0)</f>
        <v>1</v>
      </c>
      <c r="C64" s="4">
        <f>A64+(B64/10)</f>
        <v>1.1</v>
      </c>
      <c r="D64" s="7">
        <f>IF(C64="","",RANK(C64,C64:C68,1)+ROW($A$1)%%)</f>
        <v>1.0001</v>
      </c>
    </row>
    <row r="65" spans="1:4" ht="15" hidden="1">
      <c r="A65" s="4">
        <f>RANK(C87,C86:C90,0)</f>
        <v>1</v>
      </c>
      <c r="B65" s="4">
        <f>RANK(D87,D86:D90,0)</f>
        <v>1</v>
      </c>
      <c r="C65" s="4">
        <f>A65+(B65/10)</f>
        <v>1.1</v>
      </c>
      <c r="D65" s="7">
        <f>IF(C65="","",RANK(C65,C64:C68,1)+ROW($A$2)%%)</f>
        <v>1.0002</v>
      </c>
    </row>
    <row r="66" spans="1:4" ht="15" hidden="1">
      <c r="A66" s="4">
        <f>RANK(C88,C86:C90,0)</f>
        <v>1</v>
      </c>
      <c r="B66" s="4">
        <f>RANK(D88,D86:D90,0)</f>
        <v>1</v>
      </c>
      <c r="C66" s="4">
        <f>A66+(B66/10)</f>
        <v>1.1</v>
      </c>
      <c r="D66" s="7">
        <f>IF(C66="","",RANK(C66,C64:C68,1)+ROW($A$3)%%)</f>
        <v>1.0003</v>
      </c>
    </row>
    <row r="67" spans="1:4" ht="15" hidden="1">
      <c r="A67" s="4">
        <f>RANK(C89,C86:C90,0)</f>
        <v>1</v>
      </c>
      <c r="B67" s="4">
        <f>RANK(D89,D86:D90,0)</f>
        <v>1</v>
      </c>
      <c r="C67" s="4">
        <f>A67+(B67/10)</f>
        <v>1.1</v>
      </c>
      <c r="D67" s="7">
        <f>IF(C67="","",RANK(C67,C64:C68,1)+ROW($A$4)%%)</f>
        <v>1.0004</v>
      </c>
    </row>
    <row r="68" spans="1:4" ht="15" hidden="1">
      <c r="A68" s="4">
        <f>RANK(C90,C86:C90,0)</f>
        <v>1</v>
      </c>
      <c r="B68" s="4">
        <f>RANK(D90,D86:D90,0)</f>
        <v>1</v>
      </c>
      <c r="C68" s="4">
        <f>A68+(B68/10)</f>
        <v>1.1</v>
      </c>
      <c r="D68" s="7">
        <f>IF(C68="","",RANK(C68,C64:C68,1)+ROW($A$5)%%)</f>
        <v>1.0005</v>
      </c>
    </row>
    <row r="69" ht="15" hidden="1"/>
    <row r="70" ht="15" hidden="1"/>
    <row r="71" spans="1:3" ht="15" hidden="1">
      <c r="A71" s="3" t="s">
        <v>23</v>
      </c>
      <c r="B71" s="3"/>
      <c r="C71" t="s">
        <v>26</v>
      </c>
    </row>
    <row r="72" spans="1:3" ht="15" hidden="1">
      <c r="A72" s="3">
        <f>IF(H98&gt;J98,Spielernamen_Einstellungen!$B$23,0)</f>
        <v>0</v>
      </c>
      <c r="B72" s="3">
        <f>IF(J98&gt;H98,Spielernamen_Einstellungen!$B$23,0)</f>
        <v>0</v>
      </c>
      <c r="C72">
        <v>1</v>
      </c>
    </row>
    <row r="73" spans="1:3" ht="15" hidden="1">
      <c r="A73" s="3">
        <f>IF(H99&gt;J99,Spielernamen_Einstellungen!$B$23,0)</f>
        <v>0</v>
      </c>
      <c r="B73" s="3">
        <f>IF(J99&gt;H99,Spielernamen_Einstellungen!$B$23,0)</f>
        <v>0</v>
      </c>
      <c r="C73">
        <v>2</v>
      </c>
    </row>
    <row r="74" spans="1:3" ht="15" hidden="1">
      <c r="A74" s="3">
        <f>IF(H100&gt;J100,Spielernamen_Einstellungen!$B$23,0)</f>
        <v>0</v>
      </c>
      <c r="B74" s="3">
        <f>IF(J100&gt;H100,Spielernamen_Einstellungen!$B$23,0)</f>
        <v>0</v>
      </c>
      <c r="C74">
        <v>3</v>
      </c>
    </row>
    <row r="75" spans="1:3" ht="15" hidden="1">
      <c r="A75" s="3">
        <f>IF(H101&gt;J101,Spielernamen_Einstellungen!$B$23,0)</f>
        <v>0</v>
      </c>
      <c r="B75" s="3">
        <f>IF(J101&gt;H101,Spielernamen_Einstellungen!$B$23,0)</f>
        <v>0</v>
      </c>
      <c r="C75">
        <v>4</v>
      </c>
    </row>
    <row r="76" spans="1:3" ht="15" hidden="1">
      <c r="A76" s="3">
        <f>IF(H102&gt;J102,Spielernamen_Einstellungen!$B$23,0)</f>
        <v>0</v>
      </c>
      <c r="B76" s="3">
        <f>IF(J102&gt;H102,Spielernamen_Einstellungen!$B$23,0)</f>
        <v>0</v>
      </c>
      <c r="C76">
        <v>5</v>
      </c>
    </row>
    <row r="77" spans="1:3" ht="15" hidden="1">
      <c r="A77" s="3">
        <f>IF(H103&gt;J103,Spielernamen_Einstellungen!$B$23,0)</f>
        <v>0</v>
      </c>
      <c r="B77" s="3">
        <f>IF(J103&gt;H103,Spielernamen_Einstellungen!$B$23,0)</f>
        <v>0</v>
      </c>
      <c r="C77">
        <v>6</v>
      </c>
    </row>
    <row r="78" spans="1:3" ht="15" hidden="1">
      <c r="A78" s="3">
        <f>IF(H104&gt;J104,Spielernamen_Einstellungen!$B$23,0)</f>
        <v>0</v>
      </c>
      <c r="B78" s="3">
        <f>IF(J104&gt;H104,Spielernamen_Einstellungen!$B$23,0)</f>
        <v>0</v>
      </c>
      <c r="C78">
        <v>7</v>
      </c>
    </row>
    <row r="79" spans="1:3" ht="15" hidden="1">
      <c r="A79" s="3">
        <f>IF(H105&gt;J105,Spielernamen_Einstellungen!$B$23,0)</f>
        <v>0</v>
      </c>
      <c r="B79" s="3">
        <f>IF(J105&gt;H105,Spielernamen_Einstellungen!$B$23,0)</f>
        <v>0</v>
      </c>
      <c r="C79">
        <v>8</v>
      </c>
    </row>
    <row r="80" spans="1:3" ht="15" hidden="1">
      <c r="A80" s="3">
        <f>IF(H106&gt;J106,Spielernamen_Einstellungen!$B$23,0)</f>
        <v>0</v>
      </c>
      <c r="B80" s="3">
        <f>IF(J106&gt;H106,Spielernamen_Einstellungen!$B$23,0)</f>
        <v>0</v>
      </c>
      <c r="C80">
        <v>9</v>
      </c>
    </row>
    <row r="81" spans="1:3" ht="15" hidden="1">
      <c r="A81" s="3">
        <f>IF(H107&gt;J107,Spielernamen_Einstellungen!$B$23,0)</f>
        <v>0</v>
      </c>
      <c r="B81" s="3">
        <f>IF(J107&gt;H107,Spielernamen_Einstellungen!$B$23,0)</f>
        <v>0</v>
      </c>
      <c r="C81">
        <v>10</v>
      </c>
    </row>
    <row r="82" ht="15" hidden="1"/>
    <row r="83" ht="15" hidden="1"/>
    <row r="84" spans="1:4" ht="15" hidden="1">
      <c r="A84" s="5"/>
      <c r="B84" s="22" t="s">
        <v>27</v>
      </c>
      <c r="C84" s="5"/>
      <c r="D84" s="5"/>
    </row>
    <row r="85" spans="1:4" ht="15" hidden="1">
      <c r="A85" s="5" t="s">
        <v>15</v>
      </c>
      <c r="B85" s="5"/>
      <c r="C85" s="5" t="s">
        <v>6</v>
      </c>
      <c r="D85" s="5" t="s">
        <v>9</v>
      </c>
    </row>
    <row r="86" spans="1:4" ht="15" hidden="1">
      <c r="A86" s="6">
        <f>D64</f>
        <v>1.0001</v>
      </c>
      <c r="B86" s="5" t="str">
        <f>Spielernamen_Einstellungen!J44</f>
        <v>Frei_6 - Frei_26</v>
      </c>
      <c r="C86" s="6">
        <f>A72+A74+A77+B79</f>
        <v>0</v>
      </c>
      <c r="D86" s="5">
        <f>H98+H100+H103-J98-J100-J103+J105-H105</f>
        <v>0</v>
      </c>
    </row>
    <row r="87" spans="1:4" ht="15" hidden="1">
      <c r="A87" s="6">
        <f>D65</f>
        <v>1.0002</v>
      </c>
      <c r="B87" s="5" t="str">
        <f>Spielernamen_Einstellungen!J45</f>
        <v>Frei_7 - Frei_27</v>
      </c>
      <c r="C87" s="5">
        <f>B72+A75+A78+A81</f>
        <v>0</v>
      </c>
      <c r="D87" s="5">
        <f>J98-H98+H101-J101+H104-J104+H107-J107</f>
        <v>0</v>
      </c>
    </row>
    <row r="88" spans="1:4" ht="15" hidden="1">
      <c r="A88" s="6">
        <f>D66</f>
        <v>1.0003</v>
      </c>
      <c r="B88" s="5" t="str">
        <f>Spielernamen_Einstellungen!J46</f>
        <v>Frei_8 - Frei_28</v>
      </c>
      <c r="C88" s="5">
        <f>A73+A76+A79+B81</f>
        <v>0</v>
      </c>
      <c r="D88" s="5">
        <f>H99-J99+H102-J102+H105-J105+J107-H107</f>
        <v>0</v>
      </c>
    </row>
    <row r="89" spans="1:4" ht="15" hidden="1">
      <c r="A89" s="6">
        <f>D67</f>
        <v>1.0004</v>
      </c>
      <c r="B89" s="5" t="str">
        <f>Spielernamen_Einstellungen!J47</f>
        <v>Frei_9 - Frei_29</v>
      </c>
      <c r="C89" s="5">
        <f>B73+B75+B77+B80</f>
        <v>0</v>
      </c>
      <c r="D89" s="5">
        <f>J99-H99+J101-H101+J103-H103+J106-H106</f>
        <v>0</v>
      </c>
    </row>
    <row r="90" spans="1:4" ht="15" hidden="1">
      <c r="A90" s="6">
        <f>D68</f>
        <v>1.0005</v>
      </c>
      <c r="B90" s="5" t="str">
        <f>Spielernamen_Einstellungen!J48</f>
        <v>Frei_10 - Frei_30</v>
      </c>
      <c r="C90" s="5">
        <f>B74+B76+B78+A80</f>
        <v>0</v>
      </c>
      <c r="D90" s="5">
        <f>J100-H100+J102-H102+J104-H104+H106-J106</f>
        <v>0</v>
      </c>
    </row>
    <row r="91" ht="15" hidden="1">
      <c r="A91" t="s">
        <v>21</v>
      </c>
    </row>
    <row r="92" ht="15" hidden="1"/>
    <row r="95" spans="1:10" ht="23.25">
      <c r="A95" s="21" t="s">
        <v>5</v>
      </c>
      <c r="B95" s="20"/>
      <c r="C95" s="20"/>
      <c r="D95" s="20"/>
      <c r="E95" s="20"/>
      <c r="F95" s="20"/>
      <c r="G95" s="20"/>
      <c r="H95" s="20"/>
      <c r="I95" s="20"/>
      <c r="J95" s="20"/>
    </row>
    <row r="97" spans="1:10" ht="15">
      <c r="A97" s="11" t="s">
        <v>24</v>
      </c>
      <c r="B97" s="11" t="s">
        <v>22</v>
      </c>
      <c r="C97" s="11" t="s">
        <v>6</v>
      </c>
      <c r="D97" s="11" t="s">
        <v>9</v>
      </c>
      <c r="F97" s="11" t="s">
        <v>26</v>
      </c>
      <c r="G97" s="10" t="s">
        <v>25</v>
      </c>
      <c r="H97" s="15" t="s">
        <v>7</v>
      </c>
      <c r="I97" s="16"/>
      <c r="J97" s="17"/>
    </row>
    <row r="98" spans="1:10" ht="15">
      <c r="A98" s="9">
        <f>IF(ROW($A$1)&gt;COUNT(D64:D68),"",SMALL(D64:D68,ROW($A$1)))</f>
        <v>1.0001</v>
      </c>
      <c r="B98" s="12" t="str">
        <f>IF($A98="","",INDEX(B86:B90,MATCH($A98,$A86:A90,0)))</f>
        <v>Frei_6 - Frei_26</v>
      </c>
      <c r="C98" s="13">
        <f>VLOOKUP(B98,B86:D90,2,FALSE)</f>
        <v>0</v>
      </c>
      <c r="D98" s="13">
        <f>VLOOKUP(B98,B86:D90,3,FALSE)</f>
        <v>0</v>
      </c>
      <c r="F98" s="8">
        <v>1</v>
      </c>
      <c r="G98" s="12" t="str">
        <f>CONCATENATE(B86," &lt;&lt;&lt;vs.&gt;&gt;&gt; ",B87)</f>
        <v>Frei_6 - Frei_26 &lt;&lt;&lt;vs.&gt;&gt;&gt; Frei_7 - Frei_27</v>
      </c>
      <c r="H98" s="18"/>
      <c r="I98" s="14" t="s">
        <v>8</v>
      </c>
      <c r="J98" s="19"/>
    </row>
    <row r="99" spans="1:10" ht="15">
      <c r="A99" s="9">
        <f>IF(ROW($A$2)&gt;COUNT(D64:D68),"",SMALL(D64:D68,ROW($A$2)))</f>
        <v>1.0002</v>
      </c>
      <c r="B99" s="12" t="str">
        <f>IF($A99="","",INDEX(B86:B90,MATCH($A99,$A86:A90,0)))</f>
        <v>Frei_7 - Frei_27</v>
      </c>
      <c r="C99" s="13">
        <f>VLOOKUP(B99,B86:D90,2,FALSE)</f>
        <v>0</v>
      </c>
      <c r="D99" s="13">
        <f>VLOOKUP(B99,B86:D90,3,FALSE)</f>
        <v>0</v>
      </c>
      <c r="F99" s="8">
        <v>2</v>
      </c>
      <c r="G99" s="12" t="str">
        <f>CONCATENATE(B88," &lt;&lt;&lt;vs.&gt;&gt;&gt; ",B89)</f>
        <v>Frei_8 - Frei_28 &lt;&lt;&lt;vs.&gt;&gt;&gt; Frei_9 - Frei_29</v>
      </c>
      <c r="H99" s="18"/>
      <c r="I99" s="14" t="s">
        <v>8</v>
      </c>
      <c r="J99" s="19"/>
    </row>
    <row r="100" spans="1:10" ht="15">
      <c r="A100" s="9">
        <f>IF(ROW($A$3)&gt;COUNT(D64:D68),"",SMALL(D64:D68,ROW($A$3)))</f>
        <v>1.0003</v>
      </c>
      <c r="B100" s="12" t="str">
        <f>IF($A100="","",INDEX(B86:B90,MATCH($A100,$A86:A90,0)))</f>
        <v>Frei_8 - Frei_28</v>
      </c>
      <c r="C100" s="13">
        <f>VLOOKUP(B100,B86:D90,2,FALSE)</f>
        <v>0</v>
      </c>
      <c r="D100" s="13">
        <f>VLOOKUP(B100,B86:D90,3,FALSE)</f>
        <v>0</v>
      </c>
      <c r="F100" s="8">
        <v>3</v>
      </c>
      <c r="G100" s="12" t="str">
        <f>CONCATENATE(B86," &lt;&lt;&lt;vs.&gt;&gt;&gt; ",B90)</f>
        <v>Frei_6 - Frei_26 &lt;&lt;&lt;vs.&gt;&gt;&gt; Frei_10 - Frei_30</v>
      </c>
      <c r="H100" s="18"/>
      <c r="I100" s="14" t="s">
        <v>8</v>
      </c>
      <c r="J100" s="19"/>
    </row>
    <row r="101" spans="1:10" ht="15">
      <c r="A101" s="9">
        <f>IF(ROW($A$4)&gt;COUNT(D64:D68),"",SMALL(D64:D68,ROW($A$4)))</f>
        <v>1.0004</v>
      </c>
      <c r="B101" s="12" t="str">
        <f>IF($A101="","",INDEX(B86:B90,MATCH($A101,$A86:A90,0)))</f>
        <v>Frei_9 - Frei_29</v>
      </c>
      <c r="C101" s="13">
        <f>VLOOKUP(B101,B86:D90,2,FALSE)</f>
        <v>0</v>
      </c>
      <c r="D101" s="13">
        <f>VLOOKUP(B101,B86:D90,3,FALSE)</f>
        <v>0</v>
      </c>
      <c r="F101" s="8">
        <v>4</v>
      </c>
      <c r="G101" s="12" t="str">
        <f>CONCATENATE(B87," &lt;&lt;&lt;vs.&gt;&gt;&gt; ",B89)</f>
        <v>Frei_7 - Frei_27 &lt;&lt;&lt;vs.&gt;&gt;&gt; Frei_9 - Frei_29</v>
      </c>
      <c r="H101" s="18"/>
      <c r="I101" s="14" t="s">
        <v>8</v>
      </c>
      <c r="J101" s="19"/>
    </row>
    <row r="102" spans="1:10" ht="15">
      <c r="A102" s="9">
        <f>IF(ROW($A$5)&gt;COUNT(D64:D68),"",SMALL(D64:D68,ROW($A$5)))</f>
        <v>1.0005</v>
      </c>
      <c r="B102" s="12" t="str">
        <f>IF($A102="","",INDEX(B86:B90,MATCH($A102,$A86:A90,0)))</f>
        <v>Frei_10 - Frei_30</v>
      </c>
      <c r="C102" s="13">
        <f>VLOOKUP(B102,B86:D90,2,FALSE)</f>
        <v>0</v>
      </c>
      <c r="D102" s="13">
        <f>VLOOKUP(B102,B86:D90,3,FALSE)</f>
        <v>0</v>
      </c>
      <c r="F102" s="8">
        <v>5</v>
      </c>
      <c r="G102" s="12" t="str">
        <f>CONCATENATE(B88," &lt;&lt;&lt;vs.&gt;&gt;&gt; ",B90)</f>
        <v>Frei_8 - Frei_28 &lt;&lt;&lt;vs.&gt;&gt;&gt; Frei_10 - Frei_30</v>
      </c>
      <c r="H102" s="18"/>
      <c r="I102" s="14" t="s">
        <v>8</v>
      </c>
      <c r="J102" s="19"/>
    </row>
    <row r="103" spans="6:10" ht="15">
      <c r="F103" s="8">
        <v>6</v>
      </c>
      <c r="G103" s="12" t="str">
        <f>CONCATENATE(B86," &lt;&lt;&lt;vs.&gt;&gt;&gt; ",B89)</f>
        <v>Frei_6 - Frei_26 &lt;&lt;&lt;vs.&gt;&gt;&gt; Frei_9 - Frei_29</v>
      </c>
      <c r="H103" s="18"/>
      <c r="I103" s="14" t="s">
        <v>8</v>
      </c>
      <c r="J103" s="19"/>
    </row>
    <row r="104" spans="6:10" ht="15">
      <c r="F104" s="8">
        <v>7</v>
      </c>
      <c r="G104" s="12" t="str">
        <f>CONCATENATE(B87," &lt;&lt;&lt;vs.&gt;&gt;&gt; ",B90)</f>
        <v>Frei_7 - Frei_27 &lt;&lt;&lt;vs.&gt;&gt;&gt; Frei_10 - Frei_30</v>
      </c>
      <c r="H104" s="18"/>
      <c r="I104" s="14" t="s">
        <v>8</v>
      </c>
      <c r="J104" s="19"/>
    </row>
    <row r="105" spans="6:10" ht="15">
      <c r="F105" s="8">
        <v>8</v>
      </c>
      <c r="G105" s="12" t="str">
        <f>CONCATENATE(B88," &lt;&lt;&lt;vs.&gt;&gt;&gt; ",B86)</f>
        <v>Frei_8 - Frei_28 &lt;&lt;&lt;vs.&gt;&gt;&gt; Frei_6 - Frei_26</v>
      </c>
      <c r="H105" s="18"/>
      <c r="I105" s="14" t="s">
        <v>8</v>
      </c>
      <c r="J105" s="19"/>
    </row>
    <row r="106" spans="6:10" ht="15">
      <c r="F106" s="8">
        <v>9</v>
      </c>
      <c r="G106" s="12" t="str">
        <f>CONCATENATE(B90," &lt;&lt;&lt;vs.&gt;&gt;&gt; ",B89)</f>
        <v>Frei_10 - Frei_30 &lt;&lt;&lt;vs.&gt;&gt;&gt; Frei_9 - Frei_29</v>
      </c>
      <c r="H106" s="18"/>
      <c r="I106" s="14" t="s">
        <v>8</v>
      </c>
      <c r="J106" s="19"/>
    </row>
    <row r="107" spans="6:10" ht="15">
      <c r="F107" s="8">
        <v>10</v>
      </c>
      <c r="G107" s="12" t="str">
        <f>CONCATENATE(B87," &lt;&lt;&lt;vs.&gt;&gt;&gt; ",B88)</f>
        <v>Frei_7 - Frei_27 &lt;&lt;&lt;vs.&gt;&gt;&gt; Frei_8 - Frei_28</v>
      </c>
      <c r="H107" s="18"/>
      <c r="I107" s="14" t="s">
        <v>8</v>
      </c>
      <c r="J107" s="19"/>
    </row>
    <row r="110" ht="15" hidden="1"/>
    <row r="111" ht="15" hidden="1"/>
    <row r="112" ht="15" hidden="1"/>
    <row r="113" ht="15" hidden="1">
      <c r="A113" t="s">
        <v>20</v>
      </c>
    </row>
    <row r="114" spans="1:3" ht="15" hidden="1">
      <c r="A114" t="s">
        <v>102</v>
      </c>
      <c r="C114" t="s">
        <v>103</v>
      </c>
    </row>
    <row r="115" spans="1:4" ht="15" hidden="1">
      <c r="A115" s="4" t="s">
        <v>16</v>
      </c>
      <c r="B115" s="4" t="s">
        <v>17</v>
      </c>
      <c r="C115" s="4" t="s">
        <v>18</v>
      </c>
      <c r="D115" s="4" t="s">
        <v>19</v>
      </c>
    </row>
    <row r="116" spans="1:4" ht="15" hidden="1">
      <c r="A116" s="4">
        <f>RANK(C138,C138:C142,0)</f>
        <v>1</v>
      </c>
      <c r="B116" s="4">
        <f>RANK(D138,D138:D142,0)</f>
        <v>1</v>
      </c>
      <c r="C116" s="4">
        <f>A116+(B116/10)</f>
        <v>1.1</v>
      </c>
      <c r="D116" s="7">
        <f>IF(C116="","",RANK(C116,C116:C120,1)+ROW($A$1)%%)</f>
        <v>1.0001</v>
      </c>
    </row>
    <row r="117" spans="1:4" ht="15" hidden="1">
      <c r="A117" s="4">
        <f>RANK(C139,C138:C142,0)</f>
        <v>1</v>
      </c>
      <c r="B117" s="4">
        <f>RANK(D139,D138:D142,0)</f>
        <v>1</v>
      </c>
      <c r="C117" s="4">
        <f>A117+(B117/10)</f>
        <v>1.1</v>
      </c>
      <c r="D117" s="7">
        <f>IF(C117="","",RANK(C117,C116:C120,1)+ROW($A$2)%%)</f>
        <v>1.0002</v>
      </c>
    </row>
    <row r="118" spans="1:4" ht="15" hidden="1">
      <c r="A118" s="4">
        <f>RANK(C140,C138:C142,0)</f>
        <v>1</v>
      </c>
      <c r="B118" s="4">
        <f>RANK(D140,D138:D142,0)</f>
        <v>1</v>
      </c>
      <c r="C118" s="4">
        <f>A118+(B118/10)</f>
        <v>1.1</v>
      </c>
      <c r="D118" s="7">
        <f>IF(C118="","",RANK(C118,C116:C120,1)+ROW($A$3)%%)</f>
        <v>1.0003</v>
      </c>
    </row>
    <row r="119" spans="1:4" ht="15" hidden="1">
      <c r="A119" s="4">
        <f>RANK(C141,C138:C142,0)</f>
        <v>1</v>
      </c>
      <c r="B119" s="4">
        <f>RANK(D141,D138:D142,0)</f>
        <v>1</v>
      </c>
      <c r="C119" s="4">
        <f>A119+(B119/10)</f>
        <v>1.1</v>
      </c>
      <c r="D119" s="7">
        <f>IF(C119="","",RANK(C119,C116:C120,1)+ROW($A$4)%%)</f>
        <v>1.0004</v>
      </c>
    </row>
    <row r="120" spans="1:4" ht="15" hidden="1">
      <c r="A120" s="4">
        <f>RANK(C142,C138:C142,0)</f>
        <v>1</v>
      </c>
      <c r="B120" s="4">
        <f>RANK(D142,D138:D142,0)</f>
        <v>1</v>
      </c>
      <c r="C120" s="4">
        <f>A120+(B120/10)</f>
        <v>1.1</v>
      </c>
      <c r="D120" s="7">
        <f>IF(C120="","",RANK(C120,C116:C120,1)+ROW($A$5)%%)</f>
        <v>1.0005</v>
      </c>
    </row>
    <row r="121" ht="15" hidden="1"/>
    <row r="122" ht="15" hidden="1"/>
    <row r="123" spans="1:3" ht="15" hidden="1">
      <c r="A123" s="3" t="s">
        <v>23</v>
      </c>
      <c r="B123" s="3"/>
      <c r="C123" t="s">
        <v>26</v>
      </c>
    </row>
    <row r="124" spans="1:3" ht="15" hidden="1">
      <c r="A124" s="3">
        <f>IF(H150&gt;J150,Spielernamen_Einstellungen!$B$23,0)</f>
        <v>0</v>
      </c>
      <c r="B124" s="3">
        <f>IF(J150&gt;H150,Spielernamen_Einstellungen!$B$23,0)</f>
        <v>0</v>
      </c>
      <c r="C124">
        <v>1</v>
      </c>
    </row>
    <row r="125" spans="1:3" ht="15" hidden="1">
      <c r="A125" s="3">
        <f>IF(H151&gt;J151,Spielernamen_Einstellungen!$B$23,0)</f>
        <v>0</v>
      </c>
      <c r="B125" s="3">
        <f>IF(J151&gt;H151,Spielernamen_Einstellungen!$B$23,0)</f>
        <v>0</v>
      </c>
      <c r="C125">
        <v>2</v>
      </c>
    </row>
    <row r="126" spans="1:3" ht="15" hidden="1">
      <c r="A126" s="3">
        <f>IF(H152&gt;J152,Spielernamen_Einstellungen!$B$23,0)</f>
        <v>0</v>
      </c>
      <c r="B126" s="3">
        <f>IF(J152&gt;H152,Spielernamen_Einstellungen!$B$23,0)</f>
        <v>0</v>
      </c>
      <c r="C126">
        <v>3</v>
      </c>
    </row>
    <row r="127" spans="1:3" ht="15" hidden="1">
      <c r="A127" s="3">
        <f>IF(H153&gt;J153,Spielernamen_Einstellungen!$B$23,0)</f>
        <v>0</v>
      </c>
      <c r="B127" s="3">
        <f>IF(J153&gt;H153,Spielernamen_Einstellungen!$B$23,0)</f>
        <v>0</v>
      </c>
      <c r="C127">
        <v>4</v>
      </c>
    </row>
    <row r="128" spans="1:3" ht="15" hidden="1">
      <c r="A128" s="3">
        <f>IF(H154&gt;J154,Spielernamen_Einstellungen!$B$23,0)</f>
        <v>0</v>
      </c>
      <c r="B128" s="3">
        <f>IF(J154&gt;H154,Spielernamen_Einstellungen!$B$23,0)</f>
        <v>0</v>
      </c>
      <c r="C128">
        <v>5</v>
      </c>
    </row>
    <row r="129" spans="1:3" ht="15" hidden="1">
      <c r="A129" s="3">
        <f>IF(H155&gt;J155,Spielernamen_Einstellungen!$B$23,0)</f>
        <v>0</v>
      </c>
      <c r="B129" s="3">
        <f>IF(J155&gt;H155,Spielernamen_Einstellungen!$B$23,0)</f>
        <v>0</v>
      </c>
      <c r="C129">
        <v>6</v>
      </c>
    </row>
    <row r="130" spans="1:3" ht="15" hidden="1">
      <c r="A130" s="3">
        <f>IF(H156&gt;J156,Spielernamen_Einstellungen!$B$23,0)</f>
        <v>0</v>
      </c>
      <c r="B130" s="3">
        <f>IF(J156&gt;H156,Spielernamen_Einstellungen!$B$23,0)</f>
        <v>0</v>
      </c>
      <c r="C130">
        <v>7</v>
      </c>
    </row>
    <row r="131" spans="1:3" ht="15" hidden="1">
      <c r="A131" s="3">
        <f>IF(H157&gt;J157,Spielernamen_Einstellungen!$B$23,0)</f>
        <v>0</v>
      </c>
      <c r="B131" s="3">
        <f>IF(J157&gt;H157,Spielernamen_Einstellungen!$B$23,0)</f>
        <v>0</v>
      </c>
      <c r="C131">
        <v>8</v>
      </c>
    </row>
    <row r="132" spans="1:3" ht="15" hidden="1">
      <c r="A132" s="3">
        <f>IF(H158&gt;J158,Spielernamen_Einstellungen!$B$23,0)</f>
        <v>0</v>
      </c>
      <c r="B132" s="3">
        <f>IF(J158&gt;H158,Spielernamen_Einstellungen!$B$23,0)</f>
        <v>0</v>
      </c>
      <c r="C132">
        <v>9</v>
      </c>
    </row>
    <row r="133" spans="1:3" ht="15" hidden="1">
      <c r="A133" s="3">
        <f>IF(H159&gt;J159,Spielernamen_Einstellungen!$B$23,0)</f>
        <v>0</v>
      </c>
      <c r="B133" s="3">
        <f>IF(J159&gt;H159,Spielernamen_Einstellungen!$B$23,0)</f>
        <v>0</v>
      </c>
      <c r="C133">
        <v>10</v>
      </c>
    </row>
    <row r="134" ht="15" hidden="1"/>
    <row r="135" ht="15" hidden="1"/>
    <row r="136" spans="1:4" ht="15" hidden="1">
      <c r="A136" s="5"/>
      <c r="B136" s="22" t="s">
        <v>27</v>
      </c>
      <c r="C136" s="5"/>
      <c r="D136" s="5"/>
    </row>
    <row r="137" spans="1:4" ht="15" hidden="1">
      <c r="A137" s="5" t="s">
        <v>15</v>
      </c>
      <c r="B137" s="5"/>
      <c r="C137" s="5" t="s">
        <v>6</v>
      </c>
      <c r="D137" s="5" t="s">
        <v>9</v>
      </c>
    </row>
    <row r="138" spans="1:4" ht="15" hidden="1">
      <c r="A138" s="6">
        <f>D116</f>
        <v>1.0001</v>
      </c>
      <c r="B138" s="5" t="str">
        <f>Spielernamen_Einstellungen!K44</f>
        <v>Frei_11 - Frei_31</v>
      </c>
      <c r="C138" s="6">
        <f>A124+A126+A129+B131</f>
        <v>0</v>
      </c>
      <c r="D138" s="5">
        <f>H150+H152+H155-J150-J152-J155+J157-H157</f>
        <v>0</v>
      </c>
    </row>
    <row r="139" spans="1:4" ht="15" hidden="1">
      <c r="A139" s="6">
        <f>D117</f>
        <v>1.0002</v>
      </c>
      <c r="B139" s="5" t="str">
        <f>Spielernamen_Einstellungen!K45</f>
        <v>Frei_12 - Frei_32</v>
      </c>
      <c r="C139" s="5">
        <f>B124+A127+A130+A133</f>
        <v>0</v>
      </c>
      <c r="D139" s="5">
        <f>J150-H150+H153-J153+H156-J156+H159-J159</f>
        <v>0</v>
      </c>
    </row>
    <row r="140" spans="1:4" ht="15" hidden="1">
      <c r="A140" s="6">
        <f>D118</f>
        <v>1.0003</v>
      </c>
      <c r="B140" s="5" t="str">
        <f>Spielernamen_Einstellungen!K46</f>
        <v>Frei_13 - Frei_33</v>
      </c>
      <c r="C140" s="5">
        <f>A125+A128+A131+B133</f>
        <v>0</v>
      </c>
      <c r="D140" s="5">
        <f>H151-J151+H154-J154+H157-J157+J159-H159</f>
        <v>0</v>
      </c>
    </row>
    <row r="141" spans="1:4" ht="15" hidden="1">
      <c r="A141" s="6">
        <f>D119</f>
        <v>1.0004</v>
      </c>
      <c r="B141" s="5" t="str">
        <f>Spielernamen_Einstellungen!K47</f>
        <v>Frei_14 - Frei_34</v>
      </c>
      <c r="C141" s="5">
        <f>B125+B127+B129+B132</f>
        <v>0</v>
      </c>
      <c r="D141" s="5">
        <f>J151-H151+J153-H153+J155-H155+J158-H158</f>
        <v>0</v>
      </c>
    </row>
    <row r="142" spans="1:4" ht="15" hidden="1">
      <c r="A142" s="6">
        <f>D120</f>
        <v>1.0005</v>
      </c>
      <c r="B142" s="5" t="str">
        <f>Spielernamen_Einstellungen!K48</f>
        <v>Frei_15 - Frei_35</v>
      </c>
      <c r="C142" s="5">
        <f>B126+B128+B130+A132</f>
        <v>0</v>
      </c>
      <c r="D142" s="5">
        <f>J152-H152+J154-H154+J156-H156+H158-J158</f>
        <v>0</v>
      </c>
    </row>
    <row r="143" ht="15" hidden="1">
      <c r="A143" t="s">
        <v>21</v>
      </c>
    </row>
    <row r="144" ht="15" hidden="1"/>
    <row r="147" spans="1:10" ht="23.25">
      <c r="A147" s="21" t="s">
        <v>30</v>
      </c>
      <c r="B147" s="20"/>
      <c r="C147" s="20"/>
      <c r="D147" s="20"/>
      <c r="E147" s="20"/>
      <c r="F147" s="20"/>
      <c r="G147" s="20"/>
      <c r="H147" s="20"/>
      <c r="I147" s="20"/>
      <c r="J147" s="20"/>
    </row>
    <row r="149" spans="1:10" ht="15">
      <c r="A149" s="11" t="s">
        <v>24</v>
      </c>
      <c r="B149" s="11" t="s">
        <v>22</v>
      </c>
      <c r="C149" s="11" t="s">
        <v>6</v>
      </c>
      <c r="D149" s="11" t="s">
        <v>9</v>
      </c>
      <c r="F149" s="11" t="s">
        <v>26</v>
      </c>
      <c r="G149" s="10" t="s">
        <v>25</v>
      </c>
      <c r="H149" s="15" t="s">
        <v>7</v>
      </c>
      <c r="I149" s="16"/>
      <c r="J149" s="17"/>
    </row>
    <row r="150" spans="1:14" ht="15">
      <c r="A150" s="9">
        <f>IF(ROW($A$1)&gt;COUNT(D116:D120),"",SMALL(D116:D120,ROW($A$1)))</f>
        <v>1.0001</v>
      </c>
      <c r="B150" s="12" t="str">
        <f>IF($A150="","",INDEX(B138:B142,MATCH($A150,$A138:A142,0)))</f>
        <v>Frei_11 - Frei_31</v>
      </c>
      <c r="C150" s="13">
        <f>VLOOKUP(B150,B138:D142,2,FALSE)</f>
        <v>0</v>
      </c>
      <c r="D150" s="13">
        <f>VLOOKUP(B150,B138:D142,3,FALSE)</f>
        <v>0</v>
      </c>
      <c r="F150" s="8">
        <v>1</v>
      </c>
      <c r="G150" s="12" t="str">
        <f>CONCATENATE(B138," &lt;&lt;&lt;vs.&gt;&gt;&gt; ",B139)</f>
        <v>Frei_11 - Frei_31 &lt;&lt;&lt;vs.&gt;&gt;&gt; Frei_12 - Frei_32</v>
      </c>
      <c r="H150" s="18"/>
      <c r="I150" s="14" t="s">
        <v>8</v>
      </c>
      <c r="J150" s="19"/>
      <c r="L150" s="50"/>
      <c r="M150" s="50"/>
      <c r="N150" s="50"/>
    </row>
    <row r="151" spans="1:10" ht="15">
      <c r="A151" s="9">
        <f>IF(ROW($A$2)&gt;COUNT(D116:D120),"",SMALL(D116:D120,ROW($A$2)))</f>
        <v>1.0002</v>
      </c>
      <c r="B151" s="12" t="str">
        <f>IF($A151="","",INDEX(B138:B142,MATCH($A151,$A138:A142,0)))</f>
        <v>Frei_12 - Frei_32</v>
      </c>
      <c r="C151" s="13">
        <f>VLOOKUP(B151,B138:D142,2,FALSE)</f>
        <v>0</v>
      </c>
      <c r="D151" s="13">
        <f>VLOOKUP(B151,B138:D142,3,FALSE)</f>
        <v>0</v>
      </c>
      <c r="F151" s="8">
        <v>2</v>
      </c>
      <c r="G151" s="12" t="str">
        <f>CONCATENATE(B140," &lt;&lt;&lt;vs.&gt;&gt;&gt; ",B141)</f>
        <v>Frei_13 - Frei_33 &lt;&lt;&lt;vs.&gt;&gt;&gt; Frei_14 - Frei_34</v>
      </c>
      <c r="H151" s="18"/>
      <c r="I151" s="14" t="s">
        <v>8</v>
      </c>
      <c r="J151" s="19"/>
    </row>
    <row r="152" spans="1:10" ht="15">
      <c r="A152" s="9">
        <f>IF(ROW($A$3)&gt;COUNT(D116:D120),"",SMALL(D116:D120,ROW($A$3)))</f>
        <v>1.0003</v>
      </c>
      <c r="B152" s="12" t="str">
        <f>IF($A152="","",INDEX(B138:B142,MATCH($A152,$A138:A142,0)))</f>
        <v>Frei_13 - Frei_33</v>
      </c>
      <c r="C152" s="13">
        <f>VLOOKUP(B152,B138:D142,2,FALSE)</f>
        <v>0</v>
      </c>
      <c r="D152" s="13">
        <f>VLOOKUP(B152,B138:D142,3,FALSE)</f>
        <v>0</v>
      </c>
      <c r="F152" s="8">
        <v>3</v>
      </c>
      <c r="G152" s="12" t="str">
        <f>CONCATENATE(B138," &lt;&lt;&lt;vs.&gt;&gt;&gt; ",B142)</f>
        <v>Frei_11 - Frei_31 &lt;&lt;&lt;vs.&gt;&gt;&gt; Frei_15 - Frei_35</v>
      </c>
      <c r="H152" s="18"/>
      <c r="I152" s="14" t="s">
        <v>8</v>
      </c>
      <c r="J152" s="19"/>
    </row>
    <row r="153" spans="1:10" ht="15">
      <c r="A153" s="9">
        <f>IF(ROW($A$4)&gt;COUNT(D116:D120),"",SMALL(D116:D120,ROW($A$4)))</f>
        <v>1.0004</v>
      </c>
      <c r="B153" s="12" t="str">
        <f>IF($A153="","",INDEX(B138:B142,MATCH($A153,$A138:A142,0)))</f>
        <v>Frei_14 - Frei_34</v>
      </c>
      <c r="C153" s="13">
        <f>VLOOKUP(B153,B138:D142,2,FALSE)</f>
        <v>0</v>
      </c>
      <c r="D153" s="13">
        <f>VLOOKUP(B153,B138:D142,3,FALSE)</f>
        <v>0</v>
      </c>
      <c r="F153" s="8">
        <v>4</v>
      </c>
      <c r="G153" s="12" t="str">
        <f>CONCATENATE(B139," &lt;&lt;&lt;vs.&gt;&gt;&gt; ",B141)</f>
        <v>Frei_12 - Frei_32 &lt;&lt;&lt;vs.&gt;&gt;&gt; Frei_14 - Frei_34</v>
      </c>
      <c r="H153" s="18"/>
      <c r="I153" s="14" t="s">
        <v>8</v>
      </c>
      <c r="J153" s="19"/>
    </row>
    <row r="154" spans="1:10" ht="15">
      <c r="A154" s="9">
        <f>IF(ROW($A$5)&gt;COUNT(D116:D120),"",SMALL(D116:D120,ROW($A$5)))</f>
        <v>1.0005</v>
      </c>
      <c r="B154" s="12" t="str">
        <f>IF($A154="","",INDEX(B138:B142,MATCH($A154,$A138:A142,0)))</f>
        <v>Frei_15 - Frei_35</v>
      </c>
      <c r="C154" s="13">
        <f>VLOOKUP(B154,B138:D142,2,FALSE)</f>
        <v>0</v>
      </c>
      <c r="D154" s="13">
        <f>VLOOKUP(B154,B138:D142,3,FALSE)</f>
        <v>0</v>
      </c>
      <c r="F154" s="8">
        <v>5</v>
      </c>
      <c r="G154" s="12" t="str">
        <f>CONCATENATE(B140," &lt;&lt;&lt;vs.&gt;&gt;&gt; ",B142)</f>
        <v>Frei_13 - Frei_33 &lt;&lt;&lt;vs.&gt;&gt;&gt; Frei_15 - Frei_35</v>
      </c>
      <c r="H154" s="18"/>
      <c r="I154" s="14" t="s">
        <v>8</v>
      </c>
      <c r="J154" s="19"/>
    </row>
    <row r="155" spans="6:10" ht="15">
      <c r="F155" s="8">
        <v>6</v>
      </c>
      <c r="G155" s="12" t="str">
        <f>CONCATENATE(B138," &lt;&lt;&lt;vs.&gt;&gt;&gt; ",B141)</f>
        <v>Frei_11 - Frei_31 &lt;&lt;&lt;vs.&gt;&gt;&gt; Frei_14 - Frei_34</v>
      </c>
      <c r="H155" s="18"/>
      <c r="I155" s="14" t="s">
        <v>8</v>
      </c>
      <c r="J155" s="19"/>
    </row>
    <row r="156" spans="6:10" ht="15">
      <c r="F156" s="8">
        <v>7</v>
      </c>
      <c r="G156" s="12" t="str">
        <f>CONCATENATE(B139," &lt;&lt;&lt;vs.&gt;&gt;&gt; ",B142)</f>
        <v>Frei_12 - Frei_32 &lt;&lt;&lt;vs.&gt;&gt;&gt; Frei_15 - Frei_35</v>
      </c>
      <c r="H156" s="18"/>
      <c r="I156" s="14" t="s">
        <v>8</v>
      </c>
      <c r="J156" s="19"/>
    </row>
    <row r="157" spans="6:10" ht="15">
      <c r="F157" s="8">
        <v>8</v>
      </c>
      <c r="G157" s="12" t="str">
        <f>CONCATENATE(B140," &lt;&lt;&lt;vs.&gt;&gt;&gt; ",B138)</f>
        <v>Frei_13 - Frei_33 &lt;&lt;&lt;vs.&gt;&gt;&gt; Frei_11 - Frei_31</v>
      </c>
      <c r="H157" s="18"/>
      <c r="I157" s="14" t="s">
        <v>8</v>
      </c>
      <c r="J157" s="19"/>
    </row>
    <row r="158" spans="6:10" ht="15">
      <c r="F158" s="8">
        <v>9</v>
      </c>
      <c r="G158" s="12" t="str">
        <f>CONCATENATE(B142," &lt;&lt;&lt;vs.&gt;&gt;&gt; ",B141)</f>
        <v>Frei_15 - Frei_35 &lt;&lt;&lt;vs.&gt;&gt;&gt; Frei_14 - Frei_34</v>
      </c>
      <c r="H158" s="18"/>
      <c r="I158" s="14" t="s">
        <v>8</v>
      </c>
      <c r="J158" s="19"/>
    </row>
    <row r="159" spans="6:10" ht="15">
      <c r="F159" s="8">
        <v>10</v>
      </c>
      <c r="G159" s="12" t="str">
        <f>CONCATENATE(B139," &lt;&lt;&lt;vs.&gt;&gt;&gt; ",B140)</f>
        <v>Frei_12 - Frei_32 &lt;&lt;&lt;vs.&gt;&gt;&gt; Frei_13 - Frei_33</v>
      </c>
      <c r="H159" s="18"/>
      <c r="I159" s="14" t="s">
        <v>8</v>
      </c>
      <c r="J159" s="19"/>
    </row>
    <row r="161" ht="15" hidden="1"/>
    <row r="162" ht="15" hidden="1"/>
    <row r="163" ht="15" hidden="1">
      <c r="A163" t="s">
        <v>115</v>
      </c>
    </row>
    <row r="164" ht="15" hidden="1"/>
    <row r="165" spans="1:4" ht="15" hidden="1">
      <c r="A165" s="4" t="s">
        <v>16</v>
      </c>
      <c r="B165" s="4" t="s">
        <v>17</v>
      </c>
      <c r="C165" s="4" t="s">
        <v>18</v>
      </c>
      <c r="D165" s="4" t="s">
        <v>19</v>
      </c>
    </row>
    <row r="166" spans="1:4" ht="15" hidden="1">
      <c r="A166" s="4">
        <f>RANK(C174,C174:C176,0)</f>
        <v>1</v>
      </c>
      <c r="B166" s="4">
        <f>RANK(D174,D174:D176,0)</f>
        <v>1</v>
      </c>
      <c r="C166" s="4">
        <f>A166+(B166/10)</f>
        <v>1.1</v>
      </c>
      <c r="D166" s="7">
        <f>IF(C166="","",RANK(C166,C166:C168,1)+ROW($A$1)%%)</f>
        <v>1.0001</v>
      </c>
    </row>
    <row r="167" spans="1:4" ht="15" hidden="1">
      <c r="A167" s="4">
        <f>RANK(C175,C174:C176,0)</f>
        <v>1</v>
      </c>
      <c r="B167" s="4">
        <f>RANK(D175,D174:D176,0)</f>
        <v>1</v>
      </c>
      <c r="C167" s="4">
        <f>A167+(B167/10)</f>
        <v>1.1</v>
      </c>
      <c r="D167" s="7">
        <f>IF(C167="","",RANK(C167,C166:C168,1)+ROW($A$2)%%)</f>
        <v>1.0002</v>
      </c>
    </row>
    <row r="168" spans="1:4" ht="15" hidden="1">
      <c r="A168" s="4">
        <f>RANK(C176,C174:C176,0)</f>
        <v>1</v>
      </c>
      <c r="B168" s="4">
        <f>RANK(D176,D174:D176,0)</f>
        <v>1</v>
      </c>
      <c r="C168" s="4">
        <f>A168+(B168/10)</f>
        <v>1.1</v>
      </c>
      <c r="D168" s="7">
        <f>IF(C168="","",RANK(C168,C166:C168,1)+ROW($A$3)%%)</f>
        <v>1.0003</v>
      </c>
    </row>
    <row r="169" spans="4:5" ht="15" hidden="1">
      <c r="D169" s="62">
        <f>SUM(D166:D168)</f>
        <v>3.0006000000000004</v>
      </c>
      <c r="E169" s="65">
        <f>ROUND(D169,0)</f>
        <v>3</v>
      </c>
    </row>
    <row r="170" spans="4:5" ht="15" hidden="1">
      <c r="D170" s="63" t="s">
        <v>117</v>
      </c>
      <c r="E170" s="64" t="s">
        <v>118</v>
      </c>
    </row>
    <row r="171" ht="15" hidden="1"/>
    <row r="172" spans="1:4" ht="15" hidden="1">
      <c r="A172" s="5"/>
      <c r="B172" s="22" t="s">
        <v>27</v>
      </c>
      <c r="C172" s="5"/>
      <c r="D172" s="5"/>
    </row>
    <row r="173" spans="1:6" ht="15" hidden="1">
      <c r="A173" s="5" t="s">
        <v>15</v>
      </c>
      <c r="B173" s="5"/>
      <c r="C173" s="5" t="s">
        <v>6</v>
      </c>
      <c r="D173" s="5" t="s">
        <v>9</v>
      </c>
      <c r="F173" s="60"/>
    </row>
    <row r="174" spans="1:4" ht="15" hidden="1">
      <c r="A174" s="6">
        <f>D166</f>
        <v>1.0001</v>
      </c>
      <c r="B174" s="5" t="str">
        <f>B49</f>
        <v>Frei_3 - Frei_23</v>
      </c>
      <c r="C174" s="6">
        <f>C49</f>
        <v>0</v>
      </c>
      <c r="D174" s="5">
        <f>D49</f>
        <v>0</v>
      </c>
    </row>
    <row r="175" spans="1:4" ht="15" hidden="1">
      <c r="A175" s="6">
        <f>D167</f>
        <v>1.0002</v>
      </c>
      <c r="B175" s="5" t="str">
        <f>B100</f>
        <v>Frei_8 - Frei_28</v>
      </c>
      <c r="C175" s="5">
        <f>C100</f>
        <v>0</v>
      </c>
      <c r="D175" s="5">
        <f>D100</f>
        <v>0</v>
      </c>
    </row>
    <row r="176" spans="1:4" ht="15" hidden="1">
      <c r="A176" s="6">
        <f>D168</f>
        <v>1.0003</v>
      </c>
      <c r="B176" s="5" t="str">
        <f>B152</f>
        <v>Frei_13 - Frei_33</v>
      </c>
      <c r="C176" s="5">
        <f>C152</f>
        <v>0</v>
      </c>
      <c r="D176" s="5">
        <f>D152</f>
        <v>0</v>
      </c>
    </row>
    <row r="177" ht="15" hidden="1"/>
    <row r="178" ht="15" hidden="1"/>
    <row r="179" ht="15" hidden="1">
      <c r="A179" s="61" t="s">
        <v>116</v>
      </c>
    </row>
    <row r="180" spans="1:4" ht="15" hidden="1">
      <c r="A180" s="11" t="s">
        <v>24</v>
      </c>
      <c r="B180" s="11" t="s">
        <v>22</v>
      </c>
      <c r="C180" s="11" t="s">
        <v>6</v>
      </c>
      <c r="D180" s="11" t="s">
        <v>9</v>
      </c>
    </row>
    <row r="181" spans="1:14" ht="15" hidden="1">
      <c r="A181" s="9">
        <f>IF(ROW($A$1)&gt;COUNT(D166:D168),"",SMALL(D166:D168,ROW($A$1)))</f>
        <v>1.0001</v>
      </c>
      <c r="B181" s="12" t="str">
        <f>IF($A181="","",INDEX(B174:B176,MATCH($A181,$A174:A176,0)))</f>
        <v>Frei_3 - Frei_23</v>
      </c>
      <c r="C181" s="13">
        <f>VLOOKUP(B181,B174:D176,2,FALSE)</f>
        <v>0</v>
      </c>
      <c r="D181" s="13">
        <f>VLOOKUP(B181,B174:D176,3,FALSE)</f>
        <v>0</v>
      </c>
      <c r="L181" s="50"/>
      <c r="M181" s="50"/>
      <c r="N181" s="50"/>
    </row>
    <row r="182" spans="1:4" ht="15" hidden="1">
      <c r="A182" s="9">
        <f>IF(ROW($A$2)&gt;COUNT(D166:D168),"",SMALL(D166:D168,ROW($A$2)))</f>
        <v>1.0002</v>
      </c>
      <c r="B182" s="12" t="str">
        <f>IF($A182="","",INDEX(B174:B176,MATCH($A182,$A174:A176,0)))</f>
        <v>Frei_8 - Frei_28</v>
      </c>
      <c r="C182" s="13">
        <f>VLOOKUP(B182,B174:D176,2,FALSE)</f>
        <v>0</v>
      </c>
      <c r="D182" s="13">
        <f>VLOOKUP(B182,B174:D176,3,FALSE)</f>
        <v>0</v>
      </c>
    </row>
    <row r="183" spans="1:4" ht="15" hidden="1">
      <c r="A183" s="9">
        <f>IF(ROW($A$3)&gt;COUNT(D166:D168),"",SMALL(D166:D168,ROW($A$3)))</f>
        <v>1.0003</v>
      </c>
      <c r="B183" s="12" t="str">
        <f>IF($A183="","",INDEX(B174:B176,MATCH($A183,$A174:A176,0)))</f>
        <v>Frei_13 - Frei_33</v>
      </c>
      <c r="C183" s="13">
        <f>VLOOKUP(B183,B174:D176,2,FALSE)</f>
        <v>0</v>
      </c>
      <c r="D183" s="13">
        <f>VLOOKUP(B183,B174:D176,3,FALSE)</f>
        <v>0</v>
      </c>
    </row>
    <row r="184" ht="15" hidden="1"/>
    <row r="185" ht="15" hidden="1">
      <c r="A185" t="s">
        <v>21</v>
      </c>
    </row>
    <row r="186" ht="15.75" thickBot="1"/>
    <row r="187" spans="1:10" ht="24" thickBot="1">
      <c r="A187" s="56" t="s">
        <v>104</v>
      </c>
      <c r="B187" s="57"/>
      <c r="C187" s="57"/>
      <c r="D187" s="57"/>
      <c r="E187" s="57"/>
      <c r="F187" s="57"/>
      <c r="G187" s="57"/>
      <c r="H187" s="57"/>
      <c r="I187" s="57"/>
      <c r="J187" s="58"/>
    </row>
    <row r="190" spans="1:2" ht="15">
      <c r="A190" s="11" t="s">
        <v>46</v>
      </c>
      <c r="B190" s="11" t="s">
        <v>105</v>
      </c>
    </row>
    <row r="191" spans="1:2" ht="15">
      <c r="A191" s="9">
        <v>1</v>
      </c>
      <c r="B191" s="12" t="str">
        <f>B47</f>
        <v>Frei_1 - Frei_21</v>
      </c>
    </row>
    <row r="192" spans="1:2" ht="15">
      <c r="A192" s="9">
        <v>2</v>
      </c>
      <c r="B192" s="12" t="str">
        <f>B48</f>
        <v>Frei_2 - Frei_22</v>
      </c>
    </row>
    <row r="193" spans="1:2" ht="15">
      <c r="A193" s="9">
        <v>3</v>
      </c>
      <c r="B193" s="12" t="str">
        <f>B98</f>
        <v>Frei_6 - Frei_26</v>
      </c>
    </row>
    <row r="194" spans="1:2" ht="15">
      <c r="A194" s="9">
        <v>4</v>
      </c>
      <c r="B194" s="12" t="str">
        <f>B99</f>
        <v>Frei_7 - Frei_27</v>
      </c>
    </row>
    <row r="195" spans="1:2" ht="15">
      <c r="A195" s="9">
        <v>5</v>
      </c>
      <c r="B195" s="12" t="str">
        <f>B150</f>
        <v>Frei_11 - Frei_31</v>
      </c>
    </row>
    <row r="196" spans="1:2" ht="15">
      <c r="A196" s="9">
        <v>6</v>
      </c>
      <c r="B196" s="12" t="str">
        <f>B151</f>
        <v>Frei_12 - Frei_32</v>
      </c>
    </row>
    <row r="197" spans="1:4" ht="15">
      <c r="A197" s="9">
        <v>7</v>
      </c>
      <c r="B197" s="12" t="str">
        <f>B181</f>
        <v>Frei_3 - Frei_23</v>
      </c>
      <c r="C197" s="132" t="str">
        <f>IF(E169=3,"Achtung siehe Kasten","")</f>
        <v>Achtung siehe Kasten</v>
      </c>
      <c r="D197" s="132"/>
    </row>
    <row r="198" spans="1:4" ht="15">
      <c r="A198" s="9">
        <v>8</v>
      </c>
      <c r="B198" s="12" t="str">
        <f>B182</f>
        <v>Frei_8 - Frei_28</v>
      </c>
      <c r="C198" s="132" t="str">
        <f>IF(E169=3,"Achtung siehe Kasten","")</f>
        <v>Achtung siehe Kasten</v>
      </c>
      <c r="D198" s="132"/>
    </row>
    <row r="199" spans="1:256" ht="1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1:256" ht="1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ht="21" customHeight="1" thickBot="1">
      <c r="A201" s="61" t="s">
        <v>169</v>
      </c>
    </row>
    <row r="202" spans="1:2" ht="50.25" customHeight="1" thickBot="1">
      <c r="A202" s="130" t="str">
        <f>IF(E169=3,"Alle drittplatzierten sind punkt und torgleich! Bitte auslosen","Alle drittplatzierten haben unterschiedliche Ergebnisse --&gt; Finalisten können ohne Probleme gebildet werden")</f>
        <v>Alle drittplatzierten sind punkt und torgleich! Bitte auslosen</v>
      </c>
      <c r="B202" s="131"/>
    </row>
  </sheetData>
  <sheetProtection password="BEE8" sheet="1" selectLockedCells="1"/>
  <mergeCells count="4">
    <mergeCell ref="A202:B202"/>
    <mergeCell ref="C197:D197"/>
    <mergeCell ref="C198:D198"/>
    <mergeCell ref="A41:J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B2:N35"/>
  <sheetViews>
    <sheetView showGridLines="0" zoomScalePageLayoutView="0" workbookViewId="0" topLeftCell="B1">
      <selection activeCell="E7" sqref="E7"/>
    </sheetView>
  </sheetViews>
  <sheetFormatPr defaultColWidth="11.421875" defaultRowHeight="15"/>
  <cols>
    <col min="2" max="2" width="13.7109375" style="0" bestFit="1" customWidth="1"/>
    <col min="3" max="3" width="40.421875" style="0" bestFit="1" customWidth="1"/>
    <col min="4" max="4" width="75.8515625" style="0" customWidth="1"/>
    <col min="5" max="5" width="3.28125" style="0" customWidth="1"/>
    <col min="6" max="6" width="2.00390625" style="0" customWidth="1"/>
    <col min="7" max="7" width="3.28125" style="0" customWidth="1"/>
    <col min="8" max="8" width="11.421875" style="0" customWidth="1"/>
    <col min="9" max="9" width="17.421875" style="0" hidden="1" customWidth="1"/>
    <col min="10" max="14" width="11.421875" style="0" hidden="1" customWidth="1"/>
    <col min="15" max="15" width="11.421875" style="0" customWidth="1"/>
  </cols>
  <sheetData>
    <row r="1" ht="15.75" thickBot="1"/>
    <row r="2" spans="2:7" ht="24" thickBot="1">
      <c r="B2" s="119" t="s">
        <v>123</v>
      </c>
      <c r="C2" s="120"/>
      <c r="D2" s="120"/>
      <c r="E2" s="120"/>
      <c r="F2" s="120"/>
      <c r="G2" s="121"/>
    </row>
    <row r="5" spans="2:13" ht="23.25">
      <c r="B5" s="21" t="s">
        <v>36</v>
      </c>
      <c r="C5" s="20"/>
      <c r="D5" s="21"/>
      <c r="E5" s="20"/>
      <c r="F5" s="21"/>
      <c r="G5" s="20"/>
      <c r="M5" t="s">
        <v>53</v>
      </c>
    </row>
    <row r="6" spans="2:7" ht="15">
      <c r="B6" s="11" t="s">
        <v>26</v>
      </c>
      <c r="C6" s="11"/>
      <c r="D6" s="10" t="s">
        <v>25</v>
      </c>
      <c r="E6" s="15" t="s">
        <v>7</v>
      </c>
      <c r="F6" s="16"/>
      <c r="G6" s="17"/>
    </row>
    <row r="7" spans="2:14" ht="15">
      <c r="B7" s="8">
        <v>1</v>
      </c>
      <c r="C7" s="8" t="s">
        <v>120</v>
      </c>
      <c r="D7" s="12" t="str">
        <f>CONCATENATE(Vorrunde_12312312!B47," &lt;&lt;&lt;vs.&gt;&gt;&gt; ",Vorrunde_12312312!B198)</f>
        <v>Frei_1 - Frei_21 &lt;&lt;&lt;vs.&gt;&gt;&gt; Frei_8 - Frei_28</v>
      </c>
      <c r="E7" s="18"/>
      <c r="F7" s="14" t="s">
        <v>8</v>
      </c>
      <c r="G7" s="19"/>
      <c r="I7">
        <f>IF(E7=G7,"",IF(E7&gt;G7,Vorrunde_12312312!B47,Vorrunde_12312312!B100))</f>
      </c>
      <c r="M7" t="s">
        <v>54</v>
      </c>
      <c r="N7" t="s">
        <v>55</v>
      </c>
    </row>
    <row r="8" spans="2:14" ht="15">
      <c r="B8" s="8">
        <v>2</v>
      </c>
      <c r="C8" s="8" t="s">
        <v>119</v>
      </c>
      <c r="D8" s="12" t="str">
        <f>CONCATENATE(Vorrunde_12312312!B98," &lt;&lt;&lt;vs.&gt;&gt;&gt; ",Vorrunde_12312312!B197)</f>
        <v>Frei_6 - Frei_26 &lt;&lt;&lt;vs.&gt;&gt;&gt; Frei_3 - Frei_23</v>
      </c>
      <c r="E8" s="18"/>
      <c r="F8" s="14" t="s">
        <v>8</v>
      </c>
      <c r="G8" s="19"/>
      <c r="I8">
        <f>IF(E8=G8,"",IF(E8&gt;G8,Vorrunde_12312312!B98,Vorrunde_12312312!B49))</f>
      </c>
      <c r="M8">
        <v>1</v>
      </c>
      <c r="N8">
        <f>J26</f>
      </c>
    </row>
    <row r="9" spans="2:14" ht="15">
      <c r="B9" s="8">
        <v>3</v>
      </c>
      <c r="C9" s="8" t="s">
        <v>121</v>
      </c>
      <c r="D9" s="12" t="str">
        <f>CONCATENATE(Vorrunde_12312312!B150," &lt;&lt;&lt;vs.&gt;&gt;&gt; ",Vorrunde_12312312!B48)</f>
        <v>Frei_11 - Frei_31 &lt;&lt;&lt;vs.&gt;&gt;&gt; Frei_2 - Frei_22</v>
      </c>
      <c r="E9" s="18"/>
      <c r="F9" s="14" t="s">
        <v>8</v>
      </c>
      <c r="G9" s="19"/>
      <c r="I9">
        <f>IF(E9=G9,"",IF(E9&gt;G9,Vorrunde_12312312!B150,Vorrunde_12312312!B48))</f>
      </c>
      <c r="M9">
        <v>2</v>
      </c>
      <c r="N9">
        <f>I26</f>
      </c>
    </row>
    <row r="10" spans="2:14" ht="15">
      <c r="B10" s="8">
        <v>4</v>
      </c>
      <c r="C10" s="8" t="s">
        <v>122</v>
      </c>
      <c r="D10" s="12" t="str">
        <f>CONCATENATE(Vorrunde_12312312!B99," &lt;&lt;&lt;vs.&gt;&gt;&gt; ",Vorrunde_12312312!B151)</f>
        <v>Frei_7 - Frei_27 &lt;&lt;&lt;vs.&gt;&gt;&gt; Frei_12 - Frei_32</v>
      </c>
      <c r="E10" s="18"/>
      <c r="F10" s="14" t="s">
        <v>8</v>
      </c>
      <c r="G10" s="19"/>
      <c r="I10">
        <f>IF(E10=G10,"",IF(E10&gt;G10,Vorrunde_12312312!B99,Vorrunde_12312312!B151))</f>
      </c>
      <c r="M10">
        <v>3</v>
      </c>
      <c r="N10">
        <f>I21</f>
      </c>
    </row>
    <row r="11" spans="13:14" ht="15">
      <c r="M11">
        <v>4</v>
      </c>
      <c r="N11">
        <f>J21</f>
      </c>
    </row>
    <row r="13" spans="2:7" ht="23.25">
      <c r="B13" s="21" t="s">
        <v>37</v>
      </c>
      <c r="C13" s="20"/>
      <c r="D13" s="21"/>
      <c r="E13" s="20"/>
      <c r="F13" s="21"/>
      <c r="G13" s="20"/>
    </row>
    <row r="14" spans="2:10" ht="15">
      <c r="B14" s="11" t="s">
        <v>26</v>
      </c>
      <c r="C14" s="11"/>
      <c r="D14" s="10" t="s">
        <v>25</v>
      </c>
      <c r="E14" s="15" t="s">
        <v>7</v>
      </c>
      <c r="F14" s="16"/>
      <c r="G14" s="17"/>
      <c r="I14" t="s">
        <v>40</v>
      </c>
      <c r="J14" t="s">
        <v>41</v>
      </c>
    </row>
    <row r="15" spans="2:10" ht="15">
      <c r="B15" s="8">
        <v>1</v>
      </c>
      <c r="C15" s="8" t="s">
        <v>42</v>
      </c>
      <c r="D15" s="12" t="str">
        <f>CONCATENATE(I7," &lt;&lt;&lt;vs.&gt;&gt;&gt; ",I9)</f>
        <v> &lt;&lt;&lt;vs.&gt;&gt;&gt; </v>
      </c>
      <c r="E15" s="18"/>
      <c r="F15" s="14" t="s">
        <v>8</v>
      </c>
      <c r="G15" s="19"/>
      <c r="I15">
        <f>IF(E15=G15,"",IF(E15&gt;G15,I7,I9))</f>
      </c>
      <c r="J15">
        <f>IF(E15=G15,"",IF(E15&lt;G15,I7,I9))</f>
      </c>
    </row>
    <row r="16" spans="2:10" ht="15">
      <c r="B16" s="8">
        <v>2</v>
      </c>
      <c r="C16" s="8" t="s">
        <v>43</v>
      </c>
      <c r="D16" s="12" t="str">
        <f>CONCATENATE(I8," &lt;&lt;&lt;vs.&gt;&gt;&gt; ",I10)</f>
        <v> &lt;&lt;&lt;vs.&gt;&gt;&gt; </v>
      </c>
      <c r="E16" s="18"/>
      <c r="F16" s="14" t="s">
        <v>8</v>
      </c>
      <c r="G16" s="19"/>
      <c r="I16">
        <f>IF(E16=G16,"",IF(E16&gt;G16,I8,I10))</f>
      </c>
      <c r="J16">
        <f>IF(E16=G16,"",IF(E16&lt;G16,I8,I10))</f>
      </c>
    </row>
    <row r="19" spans="2:7" ht="23.25">
      <c r="B19" s="21" t="s">
        <v>38</v>
      </c>
      <c r="C19" s="20"/>
      <c r="D19" s="21"/>
      <c r="E19" s="20"/>
      <c r="F19" s="21"/>
      <c r="G19" s="20"/>
    </row>
    <row r="20" spans="2:7" ht="15">
      <c r="B20" s="11" t="s">
        <v>26</v>
      </c>
      <c r="C20" s="11"/>
      <c r="D20" s="10" t="s">
        <v>25</v>
      </c>
      <c r="E20" s="15" t="s">
        <v>7</v>
      </c>
      <c r="F20" s="16"/>
      <c r="G20" s="17"/>
    </row>
    <row r="21" spans="2:10" ht="15">
      <c r="B21" s="8">
        <v>1</v>
      </c>
      <c r="C21" s="8" t="s">
        <v>44</v>
      </c>
      <c r="D21" s="12" t="str">
        <f>CONCATENATE(J15," &lt;&lt;&lt;vs.&gt;&gt;&gt; ",J16)</f>
        <v> &lt;&lt;&lt;vs.&gt;&gt;&gt; </v>
      </c>
      <c r="E21" s="18"/>
      <c r="F21" s="14" t="s">
        <v>8</v>
      </c>
      <c r="G21" s="19"/>
      <c r="I21">
        <f>IF(E21=G21,"",IF(E21&gt;G21,J15,J16))</f>
      </c>
      <c r="J21">
        <f>IF(E21=G21,"",IF(E21&gt;G21,J16,J15))</f>
      </c>
    </row>
    <row r="24" spans="2:7" ht="23.25">
      <c r="B24" s="21" t="s">
        <v>39</v>
      </c>
      <c r="C24" s="20"/>
      <c r="D24" s="21"/>
      <c r="E24" s="20"/>
      <c r="F24" s="21"/>
      <c r="G24" s="20"/>
    </row>
    <row r="25" spans="2:7" ht="15">
      <c r="B25" s="11" t="s">
        <v>26</v>
      </c>
      <c r="C25" s="11"/>
      <c r="D25" s="10" t="s">
        <v>25</v>
      </c>
      <c r="E25" s="15" t="s">
        <v>7</v>
      </c>
      <c r="F25" s="16"/>
      <c r="G25" s="17"/>
    </row>
    <row r="26" spans="2:10" ht="15">
      <c r="B26" s="8">
        <v>1</v>
      </c>
      <c r="C26" s="8" t="s">
        <v>45</v>
      </c>
      <c r="D26" s="12" t="str">
        <f>CONCATENATE(I15," &lt;&lt;&lt;vs.&gt;&gt;&gt; ",I16)</f>
        <v> &lt;&lt;&lt;vs.&gt;&gt;&gt; </v>
      </c>
      <c r="E26" s="18"/>
      <c r="F26" s="14" t="s">
        <v>8</v>
      </c>
      <c r="G26" s="19"/>
      <c r="I26">
        <f>IF(E26=G26,"",IF(E26&lt;G26,I15,I16))</f>
      </c>
      <c r="J26">
        <f>IF(E26=G26,"",IF(E26&gt;G26,I15,I16))</f>
      </c>
    </row>
    <row r="30" spans="2:7" ht="26.25">
      <c r="B30" s="128" t="s">
        <v>59</v>
      </c>
      <c r="C30" s="128"/>
      <c r="D30" s="128"/>
      <c r="E30" s="128"/>
      <c r="F30" s="128"/>
      <c r="G30" s="128"/>
    </row>
    <row r="31" spans="2:7" ht="32.25">
      <c r="B31" s="129" t="str">
        <f>CONCATENATE("Platz 1:"," ",J26,"")</f>
        <v>Platz 1: </v>
      </c>
      <c r="C31" s="129"/>
      <c r="D31" s="129"/>
      <c r="E31" s="129"/>
      <c r="F31" s="129"/>
      <c r="G31" s="129"/>
    </row>
    <row r="33" spans="2:7" ht="21">
      <c r="B33" s="51" t="s">
        <v>56</v>
      </c>
      <c r="C33" s="51">
        <f>N9</f>
      </c>
      <c r="D33" s="51"/>
      <c r="E33" s="51"/>
      <c r="F33" s="51"/>
      <c r="G33" s="51"/>
    </row>
    <row r="34" spans="2:7" ht="21">
      <c r="B34" s="51" t="s">
        <v>57</v>
      </c>
      <c r="C34" s="51">
        <f>N10</f>
      </c>
      <c r="D34" s="51"/>
      <c r="E34" s="51"/>
      <c r="F34" s="51"/>
      <c r="G34" s="51"/>
    </row>
    <row r="35" spans="2:7" ht="21">
      <c r="B35" s="51" t="s">
        <v>58</v>
      </c>
      <c r="C35" s="51">
        <f>N11</f>
      </c>
      <c r="D35" s="51"/>
      <c r="E35" s="51"/>
      <c r="F35" s="51"/>
      <c r="G35" s="51"/>
    </row>
  </sheetData>
  <sheetProtection password="BEE8" sheet="1" selectLockedCells="1"/>
  <mergeCells count="3">
    <mergeCell ref="B30:G30"/>
    <mergeCell ref="B31:G31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rgb="FF00B050"/>
  </sheetPr>
  <dimension ref="A1:J142"/>
  <sheetViews>
    <sheetView showGridLines="0" zoomScalePageLayoutView="0" workbookViewId="0" topLeftCell="A40">
      <selection activeCell="H47" sqref="H47"/>
    </sheetView>
  </sheetViews>
  <sheetFormatPr defaultColWidth="11.421875" defaultRowHeight="15"/>
  <cols>
    <col min="1" max="1" width="7.28125" style="0" customWidth="1"/>
    <col min="2" max="2" width="39.28125" style="0" customWidth="1"/>
    <col min="3" max="3" width="9.140625" style="0" customWidth="1"/>
    <col min="4" max="5" width="10.7109375" style="0" customWidth="1"/>
    <col min="6" max="6" width="9.140625" style="0" customWidth="1"/>
    <col min="7" max="7" width="63.00390625" style="0" customWidth="1"/>
    <col min="8" max="8" width="3.28125" style="0" customWidth="1"/>
    <col min="9" max="9" width="2.00390625" style="0" customWidth="1"/>
    <col min="10" max="10" width="3.28125" style="0" customWidth="1"/>
    <col min="12" max="12" width="23.00390625" style="0" customWidth="1"/>
  </cols>
  <sheetData>
    <row r="1" ht="15" hidden="1">
      <c r="A1" s="23"/>
    </row>
    <row r="2" ht="15" hidden="1">
      <c r="A2" s="24"/>
    </row>
    <row r="3" ht="15" hidden="1">
      <c r="A3" s="24"/>
    </row>
    <row r="4" ht="15" hidden="1">
      <c r="A4" s="24"/>
    </row>
    <row r="5" ht="15" hidden="1">
      <c r="A5" s="24"/>
    </row>
    <row r="6" ht="15" hidden="1">
      <c r="A6" s="24"/>
    </row>
    <row r="7" ht="15" hidden="1">
      <c r="A7" s="24"/>
    </row>
    <row r="8" ht="15.75" hidden="1" thickBot="1">
      <c r="A8" s="25"/>
    </row>
    <row r="9" ht="15" hidden="1">
      <c r="A9" t="s">
        <v>20</v>
      </c>
    </row>
    <row r="10" spans="1:3" ht="15" hidden="1">
      <c r="A10" t="s">
        <v>102</v>
      </c>
      <c r="C10" t="s">
        <v>103</v>
      </c>
    </row>
    <row r="11" spans="1:4" ht="15" hidden="1">
      <c r="A11" s="4" t="s">
        <v>16</v>
      </c>
      <c r="B11" s="4" t="s">
        <v>17</v>
      </c>
      <c r="C11" s="4" t="s">
        <v>18</v>
      </c>
      <c r="D11" s="4" t="s">
        <v>19</v>
      </c>
    </row>
    <row r="12" spans="1:4" ht="15" hidden="1">
      <c r="A12" s="4">
        <f>RANK(C34,C34:C38,0)</f>
        <v>1</v>
      </c>
      <c r="B12" s="4">
        <f>RANK(D34,D34:D38,0)</f>
        <v>1</v>
      </c>
      <c r="C12" s="4">
        <f>A12+(B12/10)</f>
        <v>1.1</v>
      </c>
      <c r="D12" s="7">
        <f>IF(C12="","",RANK(C12,C12:C16,1)+ROW($A$1)%%)</f>
        <v>1.0001</v>
      </c>
    </row>
    <row r="13" spans="1:4" ht="15" hidden="1">
      <c r="A13" s="4">
        <f>RANK(C35,C34:C38,0)</f>
        <v>1</v>
      </c>
      <c r="B13" s="4">
        <f>RANK(D35,D34:D38,0)</f>
        <v>1</v>
      </c>
      <c r="C13" s="4">
        <f>A13+(B13/10)</f>
        <v>1.1</v>
      </c>
      <c r="D13" s="7">
        <f>IF(C13="","",RANK(C13,C12:C16,1)+ROW($A$2)%%)</f>
        <v>1.0002</v>
      </c>
    </row>
    <row r="14" spans="1:4" ht="15" hidden="1">
      <c r="A14" s="4">
        <f>RANK(C36,C34:C38,0)</f>
        <v>1</v>
      </c>
      <c r="B14" s="4">
        <f>RANK(D36,D34:D38,0)</f>
        <v>1</v>
      </c>
      <c r="C14" s="4">
        <f>A14+(B14/10)</f>
        <v>1.1</v>
      </c>
      <c r="D14" s="7">
        <f>IF(C14="","",RANK(C14,C12:C16,1)+ROW($A$3)%%)</f>
        <v>1.0003</v>
      </c>
    </row>
    <row r="15" spans="1:4" ht="15" hidden="1">
      <c r="A15" s="4">
        <f>RANK(C37,C34:C38,0)</f>
        <v>1</v>
      </c>
      <c r="B15" s="4">
        <f>RANK(D37,D34:D38,0)</f>
        <v>1</v>
      </c>
      <c r="C15" s="4">
        <f>A15+(B15/10)</f>
        <v>1.1</v>
      </c>
      <c r="D15" s="7">
        <f>IF(C15="","",RANK(C15,C12:C16,1)+ROW($A$4)%%)</f>
        <v>1.0004</v>
      </c>
    </row>
    <row r="16" spans="1:4" ht="15" hidden="1">
      <c r="A16" s="4">
        <f>RANK(C38,C34:C38,0)</f>
        <v>1</v>
      </c>
      <c r="B16" s="4">
        <f>RANK(D38,D34:D38,0)</f>
        <v>1</v>
      </c>
      <c r="C16" s="4">
        <f>A16+(B16/10)</f>
        <v>1.1</v>
      </c>
      <c r="D16" s="7">
        <f>IF(C16="","",RANK(C16,C12:C16,1)+ROW($A$5)%%)</f>
        <v>1.0005</v>
      </c>
    </row>
    <row r="17" ht="15" hidden="1"/>
    <row r="18" ht="15" hidden="1"/>
    <row r="19" spans="1:3" ht="15" hidden="1">
      <c r="A19" s="3" t="s">
        <v>23</v>
      </c>
      <c r="B19" s="3"/>
      <c r="C19" t="s">
        <v>26</v>
      </c>
    </row>
    <row r="20" spans="1:3" ht="15" hidden="1">
      <c r="A20" s="3">
        <f>IF(H47&gt;J47,Spielernamen_Einstellungen!$B$23,0)</f>
        <v>0</v>
      </c>
      <c r="B20" s="3">
        <f>IF(J47&gt;H47,Spielernamen_Einstellungen!$B$23,0)</f>
        <v>0</v>
      </c>
      <c r="C20">
        <v>1</v>
      </c>
    </row>
    <row r="21" spans="1:3" ht="15" hidden="1">
      <c r="A21" s="3">
        <f>IF(H48&gt;J48,Spielernamen_Einstellungen!$B$23,0)</f>
        <v>0</v>
      </c>
      <c r="B21" s="3">
        <f>IF(J48&gt;H48,Spielernamen_Einstellungen!$B$23,0)</f>
        <v>0</v>
      </c>
      <c r="C21">
        <v>2</v>
      </c>
    </row>
    <row r="22" spans="1:3" ht="15" hidden="1">
      <c r="A22" s="3">
        <f>IF(H49&gt;J49,Spielernamen_Einstellungen!$B$23,0)</f>
        <v>0</v>
      </c>
      <c r="B22" s="3">
        <f>IF(J49&gt;H49,Spielernamen_Einstellungen!$B$23,0)</f>
        <v>0</v>
      </c>
      <c r="C22">
        <v>3</v>
      </c>
    </row>
    <row r="23" spans="1:3" ht="15" hidden="1">
      <c r="A23" s="3">
        <f>IF(H50&gt;J50,Spielernamen_Einstellungen!$B$23,0)</f>
        <v>0</v>
      </c>
      <c r="B23" s="3">
        <f>IF(J50&gt;H50,Spielernamen_Einstellungen!$B$23,0)</f>
        <v>0</v>
      </c>
      <c r="C23">
        <v>4</v>
      </c>
    </row>
    <row r="24" spans="1:3" ht="15" hidden="1">
      <c r="A24" s="3">
        <f>IF(H51&gt;J51,Spielernamen_Einstellungen!$B$23,0)</f>
        <v>0</v>
      </c>
      <c r="B24" s="3">
        <f>IF(J51&gt;H51,Spielernamen_Einstellungen!$B$23,0)</f>
        <v>0</v>
      </c>
      <c r="C24">
        <v>5</v>
      </c>
    </row>
    <row r="25" spans="1:3" ht="15" hidden="1">
      <c r="A25" s="3">
        <f>IF(H52&gt;J52,Spielernamen_Einstellungen!$B$23,0)</f>
        <v>0</v>
      </c>
      <c r="B25" s="3">
        <f>IF(J52&gt;H52,Spielernamen_Einstellungen!$B$23,0)</f>
        <v>0</v>
      </c>
      <c r="C25">
        <v>6</v>
      </c>
    </row>
    <row r="26" spans="1:3" ht="15" hidden="1">
      <c r="A26" s="3">
        <f>IF(H53&gt;J53,Spielernamen_Einstellungen!$B$23,0)</f>
        <v>0</v>
      </c>
      <c r="B26" s="3">
        <f>IF(J53&gt;H53,Spielernamen_Einstellungen!$B$23,0)</f>
        <v>0</v>
      </c>
      <c r="C26">
        <v>7</v>
      </c>
    </row>
    <row r="27" spans="1:3" ht="15" hidden="1">
      <c r="A27" s="3">
        <f>IF(H54&gt;J54,Spielernamen_Einstellungen!$B$23,0)</f>
        <v>0</v>
      </c>
      <c r="B27" s="3">
        <f>IF(J54&gt;H54,Spielernamen_Einstellungen!$B$23,0)</f>
        <v>0</v>
      </c>
      <c r="C27">
        <v>8</v>
      </c>
    </row>
    <row r="28" spans="1:3" ht="15" hidden="1">
      <c r="A28" s="3">
        <f>IF(H55&gt;J55,Spielernamen_Einstellungen!$B$23,0)</f>
        <v>0</v>
      </c>
      <c r="B28" s="3">
        <f>IF(J55&gt;H55,Spielernamen_Einstellungen!$B$23,0)</f>
        <v>0</v>
      </c>
      <c r="C28">
        <v>9</v>
      </c>
    </row>
    <row r="29" spans="1:3" ht="15" hidden="1">
      <c r="A29" s="3">
        <f>IF(H56&gt;J56,Spielernamen_Einstellungen!$B$23,0)</f>
        <v>0</v>
      </c>
      <c r="B29" s="3">
        <f>IF(J56&gt;H56,Spielernamen_Einstellungen!$B$23,0)</f>
        <v>0</v>
      </c>
      <c r="C29">
        <v>10</v>
      </c>
    </row>
    <row r="30" ht="15" hidden="1"/>
    <row r="31" ht="15" hidden="1"/>
    <row r="32" spans="1:4" ht="15" hidden="1">
      <c r="A32" s="5"/>
      <c r="B32" s="22" t="s">
        <v>27</v>
      </c>
      <c r="C32" s="5"/>
      <c r="D32" s="5"/>
    </row>
    <row r="33" spans="1:4" ht="15" hidden="1">
      <c r="A33" s="5" t="s">
        <v>15</v>
      </c>
      <c r="B33" s="5"/>
      <c r="C33" s="5" t="s">
        <v>6</v>
      </c>
      <c r="D33" s="5" t="s">
        <v>9</v>
      </c>
    </row>
    <row r="34" spans="1:4" ht="15" hidden="1">
      <c r="A34" s="6">
        <f>D12</f>
        <v>1.0001</v>
      </c>
      <c r="B34" s="5" t="str">
        <f>Spielernamen_Einstellungen!I44</f>
        <v>Frei_1 - Frei_21</v>
      </c>
      <c r="C34" s="6">
        <f>A20+A22+A25+B27</f>
        <v>0</v>
      </c>
      <c r="D34" s="5">
        <f>H47+H49+H52-J47-J49-J52+J54-H54</f>
        <v>0</v>
      </c>
    </row>
    <row r="35" spans="1:4" ht="15" hidden="1">
      <c r="A35" s="6">
        <f>D13</f>
        <v>1.0002</v>
      </c>
      <c r="B35" s="5" t="str">
        <f>Spielernamen_Einstellungen!I45</f>
        <v>Frei_2 - Frei_22</v>
      </c>
      <c r="C35" s="5">
        <f>B20+A23+A26+A29</f>
        <v>0</v>
      </c>
      <c r="D35" s="5">
        <f>J47-H47+H50-J50+H53-J53+H56-J56</f>
        <v>0</v>
      </c>
    </row>
    <row r="36" spans="1:4" ht="15" hidden="1">
      <c r="A36" s="6">
        <f>D14</f>
        <v>1.0003</v>
      </c>
      <c r="B36" s="5" t="str">
        <f>Spielernamen_Einstellungen!I46</f>
        <v>Frei_3 - Frei_23</v>
      </c>
      <c r="C36" s="5">
        <f>A21+A24+A27+B29</f>
        <v>0</v>
      </c>
      <c r="D36" s="5">
        <f>H48-J48+H51-J51+H54-J54+J56-H56</f>
        <v>0</v>
      </c>
    </row>
    <row r="37" spans="1:4" ht="15" hidden="1">
      <c r="A37" s="6">
        <f>D15</f>
        <v>1.0004</v>
      </c>
      <c r="B37" s="5" t="str">
        <f>Spielernamen_Einstellungen!I47</f>
        <v>Frei_4 - Frei_24</v>
      </c>
      <c r="C37" s="5">
        <f>B21+B23+B25+B28</f>
        <v>0</v>
      </c>
      <c r="D37" s="5">
        <f>J48-H48+J50-H50+J52-H52+J55-H55</f>
        <v>0</v>
      </c>
    </row>
    <row r="38" spans="1:4" ht="15" hidden="1">
      <c r="A38" s="6">
        <f>D16</f>
        <v>1.0005</v>
      </c>
      <c r="B38" s="5" t="str">
        <f>Spielernamen_Einstellungen!I48</f>
        <v>Frei_5 - Frei_25</v>
      </c>
      <c r="C38" s="5">
        <f>B22+B24+B26+A28</f>
        <v>0</v>
      </c>
      <c r="D38" s="5">
        <f>J49-H49+J51-H51+J53-H53+H55-J55</f>
        <v>0</v>
      </c>
    </row>
    <row r="39" ht="15" hidden="1">
      <c r="A39" t="s">
        <v>21</v>
      </c>
    </row>
    <row r="40" ht="15.75" thickBot="1"/>
    <row r="41" spans="1:10" ht="24" thickBot="1">
      <c r="A41" s="119" t="s">
        <v>128</v>
      </c>
      <c r="B41" s="120"/>
      <c r="C41" s="120"/>
      <c r="D41" s="120"/>
      <c r="E41" s="120"/>
      <c r="F41" s="120"/>
      <c r="G41" s="120"/>
      <c r="H41" s="120"/>
      <c r="I41" s="120"/>
      <c r="J41" s="121"/>
    </row>
    <row r="44" spans="1:10" ht="23.25">
      <c r="A44" s="21" t="s">
        <v>4</v>
      </c>
      <c r="B44" s="20"/>
      <c r="C44" s="20"/>
      <c r="D44" s="20"/>
      <c r="E44" s="20"/>
      <c r="F44" s="20"/>
      <c r="G44" s="20"/>
      <c r="H44" s="20"/>
      <c r="I44" s="20"/>
      <c r="J44" s="20"/>
    </row>
    <row r="46" spans="1:10" ht="15">
      <c r="A46" s="11" t="s">
        <v>24</v>
      </c>
      <c r="B46" s="11" t="s">
        <v>22</v>
      </c>
      <c r="C46" s="11" t="s">
        <v>6</v>
      </c>
      <c r="D46" s="11" t="s">
        <v>9</v>
      </c>
      <c r="F46" s="11" t="s">
        <v>26</v>
      </c>
      <c r="G46" s="10" t="s">
        <v>25</v>
      </c>
      <c r="H46" s="15" t="s">
        <v>7</v>
      </c>
      <c r="I46" s="16"/>
      <c r="J46" s="17"/>
    </row>
    <row r="47" spans="1:10" ht="15">
      <c r="A47" s="9">
        <f>IF(ROW($A$1)&gt;COUNT(D12:D16),"",SMALL(D12:D16,ROW($A$1)))</f>
        <v>1.0001</v>
      </c>
      <c r="B47" s="12" t="str">
        <f>IF($A47="","",INDEX(B34:B38,MATCH($A47,$A34:A38,0)))</f>
        <v>Frei_1 - Frei_21</v>
      </c>
      <c r="C47" s="13">
        <f>VLOOKUP(B47,B34:D38,2,FALSE)</f>
        <v>0</v>
      </c>
      <c r="D47" s="13">
        <f>VLOOKUP(B47,B34:D38,3,FALSE)</f>
        <v>0</v>
      </c>
      <c r="F47" s="8">
        <v>1</v>
      </c>
      <c r="G47" s="12" t="str">
        <f>CONCATENATE(B34," &lt;&lt;&lt;vs.&gt;&gt;&gt; ",B35)</f>
        <v>Frei_1 - Frei_21 &lt;&lt;&lt;vs.&gt;&gt;&gt; Frei_2 - Frei_22</v>
      </c>
      <c r="H47" s="18"/>
      <c r="I47" s="14" t="s">
        <v>8</v>
      </c>
      <c r="J47" s="19"/>
    </row>
    <row r="48" spans="1:10" ht="15">
      <c r="A48" s="9">
        <f>IF(ROW($A$2)&gt;COUNT(D12:D16),"",SMALL(D12:D16,ROW($A$2)))</f>
        <v>1.0002</v>
      </c>
      <c r="B48" s="12" t="str">
        <f>IF($A48="","",INDEX(B34:B38,MATCH($A48,$A34:A38,0)))</f>
        <v>Frei_2 - Frei_22</v>
      </c>
      <c r="C48" s="13">
        <f>VLOOKUP(B48,B34:D38,2,FALSE)</f>
        <v>0</v>
      </c>
      <c r="D48" s="13">
        <f>VLOOKUP(B48,B34:D38,3,FALSE)</f>
        <v>0</v>
      </c>
      <c r="F48" s="8">
        <v>2</v>
      </c>
      <c r="G48" s="12" t="str">
        <f>CONCATENATE(B36," &lt;&lt;&lt;vs.&gt;&gt;&gt; ",B37)</f>
        <v>Frei_3 - Frei_23 &lt;&lt;&lt;vs.&gt;&gt;&gt; Frei_4 - Frei_24</v>
      </c>
      <c r="H48" s="18"/>
      <c r="I48" s="14" t="s">
        <v>8</v>
      </c>
      <c r="J48" s="19"/>
    </row>
    <row r="49" spans="1:10" ht="15">
      <c r="A49" s="9">
        <f>IF(ROW($A$3)&gt;COUNT(D12:D16),"",SMALL(D12:D16,ROW($A$3)))</f>
        <v>1.0003</v>
      </c>
      <c r="B49" s="12" t="str">
        <f>IF($A49="","",INDEX(B34:B38,MATCH($A49,$A34:A38,0)))</f>
        <v>Frei_3 - Frei_23</v>
      </c>
      <c r="C49" s="13">
        <f>VLOOKUP(B49,B34:D38,2,FALSE)</f>
        <v>0</v>
      </c>
      <c r="D49" s="13">
        <f>VLOOKUP(B49,B34:D38,3,FALSE)</f>
        <v>0</v>
      </c>
      <c r="F49" s="8">
        <v>3</v>
      </c>
      <c r="G49" s="12" t="str">
        <f>CONCATENATE(B34," &lt;&lt;&lt;vs.&gt;&gt;&gt; ",B38)</f>
        <v>Frei_1 - Frei_21 &lt;&lt;&lt;vs.&gt;&gt;&gt; Frei_5 - Frei_25</v>
      </c>
      <c r="H49" s="18"/>
      <c r="I49" s="14" t="s">
        <v>8</v>
      </c>
      <c r="J49" s="19"/>
    </row>
    <row r="50" spans="1:10" ht="15">
      <c r="A50" s="9">
        <f>IF(ROW($A$4)&gt;COUNT(D12:D16),"",SMALL(D12:D16,ROW($A$4)))</f>
        <v>1.0004</v>
      </c>
      <c r="B50" s="12" t="str">
        <f>IF($A50="","",INDEX(B34:B38,MATCH($A50,$A34:A38,0)))</f>
        <v>Frei_4 - Frei_24</v>
      </c>
      <c r="C50" s="13">
        <f>VLOOKUP(B50,B34:D38,2,FALSE)</f>
        <v>0</v>
      </c>
      <c r="D50" s="13">
        <f>VLOOKUP(B50,B34:D38,3,FALSE)</f>
        <v>0</v>
      </c>
      <c r="F50" s="8">
        <v>4</v>
      </c>
      <c r="G50" s="12" t="str">
        <f>CONCATENATE(B35," &lt;&lt;&lt;vs.&gt;&gt;&gt; ",B37)</f>
        <v>Frei_2 - Frei_22 &lt;&lt;&lt;vs.&gt;&gt;&gt; Frei_4 - Frei_24</v>
      </c>
      <c r="H50" s="18"/>
      <c r="I50" s="14" t="s">
        <v>8</v>
      </c>
      <c r="J50" s="19"/>
    </row>
    <row r="51" spans="1:10" ht="15">
      <c r="A51" s="9">
        <f>IF(ROW($A$5)&gt;COUNT(D12:D16),"",SMALL(D12:D16,ROW($A$5)))</f>
        <v>1.0005</v>
      </c>
      <c r="B51" s="12" t="str">
        <f>IF($A51="","",INDEX(B34:B38,MATCH($A51,$A34:A38,0)))</f>
        <v>Frei_5 - Frei_25</v>
      </c>
      <c r="C51" s="13">
        <f>VLOOKUP(B51,B34:D38,2,FALSE)</f>
        <v>0</v>
      </c>
      <c r="D51" s="13">
        <f>VLOOKUP(B51,B34:D38,3,FALSE)</f>
        <v>0</v>
      </c>
      <c r="F51" s="8">
        <v>5</v>
      </c>
      <c r="G51" s="12" t="str">
        <f>CONCATENATE(B36," &lt;&lt;&lt;vs.&gt;&gt;&gt; ",B38)</f>
        <v>Frei_3 - Frei_23 &lt;&lt;&lt;vs.&gt;&gt;&gt; Frei_5 - Frei_25</v>
      </c>
      <c r="H51" s="18"/>
      <c r="I51" s="14" t="s">
        <v>8</v>
      </c>
      <c r="J51" s="19"/>
    </row>
    <row r="52" spans="6:10" ht="15">
      <c r="F52" s="8">
        <v>6</v>
      </c>
      <c r="G52" s="12" t="str">
        <f>CONCATENATE(B34," &lt;&lt;&lt;vs.&gt;&gt;&gt; ",B37)</f>
        <v>Frei_1 - Frei_21 &lt;&lt;&lt;vs.&gt;&gt;&gt; Frei_4 - Frei_24</v>
      </c>
      <c r="H52" s="18"/>
      <c r="I52" s="14" t="s">
        <v>8</v>
      </c>
      <c r="J52" s="19"/>
    </row>
    <row r="53" spans="6:10" ht="15">
      <c r="F53" s="8">
        <v>7</v>
      </c>
      <c r="G53" s="12" t="str">
        <f>CONCATENATE(B35," &lt;&lt;&lt;vs.&gt;&gt;&gt; ",B38)</f>
        <v>Frei_2 - Frei_22 &lt;&lt;&lt;vs.&gt;&gt;&gt; Frei_5 - Frei_25</v>
      </c>
      <c r="H53" s="18"/>
      <c r="I53" s="14" t="s">
        <v>8</v>
      </c>
      <c r="J53" s="19"/>
    </row>
    <row r="54" spans="6:10" ht="15">
      <c r="F54" s="8">
        <v>8</v>
      </c>
      <c r="G54" s="12" t="str">
        <f>CONCATENATE(B36," &lt;&lt;&lt;vs.&gt;&gt;&gt; ",B34)</f>
        <v>Frei_3 - Frei_23 &lt;&lt;&lt;vs.&gt;&gt;&gt; Frei_1 - Frei_21</v>
      </c>
      <c r="H54" s="18"/>
      <c r="I54" s="14" t="s">
        <v>8</v>
      </c>
      <c r="J54" s="19"/>
    </row>
    <row r="55" spans="6:10" ht="15">
      <c r="F55" s="8">
        <v>9</v>
      </c>
      <c r="G55" s="12" t="str">
        <f>CONCATENATE(B38," &lt;&lt;&lt;vs.&gt;&gt;&gt; ",B37)</f>
        <v>Frei_5 - Frei_25 &lt;&lt;&lt;vs.&gt;&gt;&gt; Frei_4 - Frei_24</v>
      </c>
      <c r="H55" s="18"/>
      <c r="I55" s="14" t="s">
        <v>8</v>
      </c>
      <c r="J55" s="19"/>
    </row>
    <row r="56" spans="6:10" ht="15">
      <c r="F56" s="8">
        <v>10</v>
      </c>
      <c r="G56" s="12" t="str">
        <f>CONCATENATE(B35," &lt;&lt;&lt;vs.&gt;&gt;&gt; ",B36)</f>
        <v>Frei_2 - Frei_22 &lt;&lt;&lt;vs.&gt;&gt;&gt; Frei_3 - Frei_23</v>
      </c>
      <c r="H56" s="18"/>
      <c r="I56" s="14" t="s">
        <v>8</v>
      </c>
      <c r="J56" s="19"/>
    </row>
    <row r="59" ht="15" hidden="1"/>
    <row r="60" ht="15" hidden="1"/>
    <row r="61" ht="15" hidden="1">
      <c r="A61" t="s">
        <v>20</v>
      </c>
    </row>
    <row r="62" spans="1:3" ht="15" hidden="1">
      <c r="A62" t="s">
        <v>102</v>
      </c>
      <c r="C62" t="s">
        <v>103</v>
      </c>
    </row>
    <row r="63" spans="1:4" ht="15" hidden="1">
      <c r="A63" s="4" t="s">
        <v>16</v>
      </c>
      <c r="B63" s="4" t="s">
        <v>17</v>
      </c>
      <c r="C63" s="4" t="s">
        <v>18</v>
      </c>
      <c r="D63" s="4" t="s">
        <v>19</v>
      </c>
    </row>
    <row r="64" spans="1:4" ht="15" hidden="1">
      <c r="A64" s="4">
        <f>RANK(C86,C86:C90,0)</f>
        <v>1</v>
      </c>
      <c r="B64" s="4">
        <f>RANK(D86,D86:D90,0)</f>
        <v>1</v>
      </c>
      <c r="C64" s="4">
        <f>A64+(B64/10)</f>
        <v>1.1</v>
      </c>
      <c r="D64" s="7">
        <f>IF(C64="","",RANK(C64,C64:C68,1)+ROW($A$1)%%)</f>
        <v>1.0001</v>
      </c>
    </row>
    <row r="65" spans="1:4" ht="15" hidden="1">
      <c r="A65" s="4">
        <f>RANK(C87,C86:C90,0)</f>
        <v>1</v>
      </c>
      <c r="B65" s="4">
        <f>RANK(D87,D86:D90,0)</f>
        <v>1</v>
      </c>
      <c r="C65" s="4">
        <f>A65+(B65/10)</f>
        <v>1.1</v>
      </c>
      <c r="D65" s="7">
        <f>IF(C65="","",RANK(C65,C64:C68,1)+ROW($A$2)%%)</f>
        <v>1.0002</v>
      </c>
    </row>
    <row r="66" spans="1:4" ht="15" hidden="1">
      <c r="A66" s="4">
        <f>RANK(C88,C86:C90,0)</f>
        <v>1</v>
      </c>
      <c r="B66" s="4">
        <f>RANK(D88,D86:D90,0)</f>
        <v>1</v>
      </c>
      <c r="C66" s="4">
        <f>A66+(B66/10)</f>
        <v>1.1</v>
      </c>
      <c r="D66" s="7">
        <f>IF(C66="","",RANK(C66,C64:C68,1)+ROW($A$3)%%)</f>
        <v>1.0003</v>
      </c>
    </row>
    <row r="67" spans="1:4" ht="15" hidden="1">
      <c r="A67" s="4">
        <f>RANK(C89,C86:C90,0)</f>
        <v>1</v>
      </c>
      <c r="B67" s="4">
        <f>RANK(D89,D86:D90,0)</f>
        <v>1</v>
      </c>
      <c r="C67" s="4">
        <f>A67+(B67/10)</f>
        <v>1.1</v>
      </c>
      <c r="D67" s="7">
        <f>IF(C67="","",RANK(C67,C64:C68,1)+ROW($A$4)%%)</f>
        <v>1.0004</v>
      </c>
    </row>
    <row r="68" spans="1:4" ht="15" hidden="1">
      <c r="A68" s="4">
        <f>RANK(C90,C86:C90,0)</f>
        <v>1</v>
      </c>
      <c r="B68" s="4">
        <f>RANK(D90,D86:D90,0)</f>
        <v>1</v>
      </c>
      <c r="C68" s="4">
        <f>A68+(B68/10)</f>
        <v>1.1</v>
      </c>
      <c r="D68" s="7">
        <f>IF(C68="","",RANK(C68,C64:C68,1)+ROW($A$5)%%)</f>
        <v>1.0005</v>
      </c>
    </row>
    <row r="69" ht="15" hidden="1"/>
    <row r="70" ht="15" hidden="1"/>
    <row r="71" spans="1:3" ht="15" hidden="1">
      <c r="A71" s="3" t="s">
        <v>23</v>
      </c>
      <c r="B71" s="3"/>
      <c r="C71" t="s">
        <v>26</v>
      </c>
    </row>
    <row r="72" spans="1:3" ht="15" hidden="1">
      <c r="A72" s="3">
        <f>IF(H98&gt;J98,Spielernamen_Einstellungen!$B$23,0)</f>
        <v>0</v>
      </c>
      <c r="B72" s="3">
        <f>IF(J98&gt;H98,Spielernamen_Einstellungen!$B$23,0)</f>
        <v>0</v>
      </c>
      <c r="C72">
        <v>1</v>
      </c>
    </row>
    <row r="73" spans="1:3" ht="15" hidden="1">
      <c r="A73" s="3">
        <f>IF(H99&gt;J99,Spielernamen_Einstellungen!$B$23,0)</f>
        <v>0</v>
      </c>
      <c r="B73" s="3">
        <f>IF(J99&gt;H99,Spielernamen_Einstellungen!$B$23,0)</f>
        <v>0</v>
      </c>
      <c r="C73">
        <v>2</v>
      </c>
    </row>
    <row r="74" spans="1:3" ht="15" hidden="1">
      <c r="A74" s="3">
        <f>IF(H100&gt;J100,Spielernamen_Einstellungen!$B$23,0)</f>
        <v>0</v>
      </c>
      <c r="B74" s="3">
        <f>IF(J100&gt;H100,Spielernamen_Einstellungen!$B$23,0)</f>
        <v>0</v>
      </c>
      <c r="C74">
        <v>3</v>
      </c>
    </row>
    <row r="75" spans="1:3" ht="15" hidden="1">
      <c r="A75" s="3">
        <f>IF(H101&gt;J101,Spielernamen_Einstellungen!$B$23,0)</f>
        <v>0</v>
      </c>
      <c r="B75" s="3">
        <f>IF(J101&gt;H101,Spielernamen_Einstellungen!$B$23,0)</f>
        <v>0</v>
      </c>
      <c r="C75">
        <v>4</v>
      </c>
    </row>
    <row r="76" spans="1:3" ht="15" hidden="1">
      <c r="A76" s="3">
        <f>IF(H102&gt;J102,Spielernamen_Einstellungen!$B$23,0)</f>
        <v>0</v>
      </c>
      <c r="B76" s="3">
        <f>IF(J102&gt;H102,Spielernamen_Einstellungen!$B$23,0)</f>
        <v>0</v>
      </c>
      <c r="C76">
        <v>5</v>
      </c>
    </row>
    <row r="77" spans="1:3" ht="15" hidden="1">
      <c r="A77" s="3">
        <f>IF(H103&gt;J103,Spielernamen_Einstellungen!$B$23,0)</f>
        <v>0</v>
      </c>
      <c r="B77" s="3">
        <f>IF(J103&gt;H103,Spielernamen_Einstellungen!$B$23,0)</f>
        <v>0</v>
      </c>
      <c r="C77">
        <v>6</v>
      </c>
    </row>
    <row r="78" spans="1:3" ht="15" hidden="1">
      <c r="A78" s="3">
        <f>IF(H104&gt;J104,Spielernamen_Einstellungen!$B$23,0)</f>
        <v>0</v>
      </c>
      <c r="B78" s="3">
        <f>IF(J104&gt;H104,Spielernamen_Einstellungen!$B$23,0)</f>
        <v>0</v>
      </c>
      <c r="C78">
        <v>7</v>
      </c>
    </row>
    <row r="79" spans="1:3" ht="15" hidden="1">
      <c r="A79" s="3">
        <f>IF(H105&gt;J105,Spielernamen_Einstellungen!$B$23,0)</f>
        <v>0</v>
      </c>
      <c r="B79" s="3">
        <f>IF(J105&gt;H105,Spielernamen_Einstellungen!$B$23,0)</f>
        <v>0</v>
      </c>
      <c r="C79">
        <v>8</v>
      </c>
    </row>
    <row r="80" spans="1:3" ht="15" hidden="1">
      <c r="A80" s="3">
        <f>IF(H106&gt;J106,Spielernamen_Einstellungen!$B$23,0)</f>
        <v>0</v>
      </c>
      <c r="B80" s="3">
        <f>IF(J106&gt;H106,Spielernamen_Einstellungen!$B$23,0)</f>
        <v>0</v>
      </c>
      <c r="C80">
        <v>9</v>
      </c>
    </row>
    <row r="81" spans="1:3" ht="15" hidden="1">
      <c r="A81" s="3">
        <f>IF(H107&gt;J107,Spielernamen_Einstellungen!$B$23,0)</f>
        <v>0</v>
      </c>
      <c r="B81" s="3">
        <f>IF(J107&gt;H107,Spielernamen_Einstellungen!$B$23,0)</f>
        <v>0</v>
      </c>
      <c r="C81">
        <v>10</v>
      </c>
    </row>
    <row r="82" ht="15" hidden="1"/>
    <row r="83" ht="15" hidden="1"/>
    <row r="84" spans="1:4" ht="15" hidden="1">
      <c r="A84" s="5"/>
      <c r="B84" s="22" t="s">
        <v>27</v>
      </c>
      <c r="C84" s="5"/>
      <c r="D84" s="5"/>
    </row>
    <row r="85" spans="1:4" ht="15" hidden="1">
      <c r="A85" s="5" t="s">
        <v>15</v>
      </c>
      <c r="B85" s="5"/>
      <c r="C85" s="5" t="s">
        <v>6</v>
      </c>
      <c r="D85" s="5" t="s">
        <v>9</v>
      </c>
    </row>
    <row r="86" spans="1:4" ht="15" hidden="1">
      <c r="A86" s="6">
        <f>D64</f>
        <v>1.0001</v>
      </c>
      <c r="B86" s="5" t="str">
        <f>Spielernamen_Einstellungen!J44</f>
        <v>Frei_6 - Frei_26</v>
      </c>
      <c r="C86" s="6">
        <f>A72+A74+A77+B79</f>
        <v>0</v>
      </c>
      <c r="D86" s="5">
        <f>H98+H100+H103-J98-J100-J103+J105-H105</f>
        <v>0</v>
      </c>
    </row>
    <row r="87" spans="1:4" ht="15" hidden="1">
      <c r="A87" s="6">
        <f>D65</f>
        <v>1.0002</v>
      </c>
      <c r="B87" s="5" t="str">
        <f>Spielernamen_Einstellungen!J45</f>
        <v>Frei_7 - Frei_27</v>
      </c>
      <c r="C87" s="5">
        <f>B72+A75+A78+A81</f>
        <v>0</v>
      </c>
      <c r="D87" s="5">
        <f>J98-H98+H101-J101+H104-J104+H107-J107</f>
        <v>0</v>
      </c>
    </row>
    <row r="88" spans="1:4" ht="15" hidden="1">
      <c r="A88" s="6">
        <f>D66</f>
        <v>1.0003</v>
      </c>
      <c r="B88" s="5" t="str">
        <f>Spielernamen_Einstellungen!J46</f>
        <v>Frei_8 - Frei_28</v>
      </c>
      <c r="C88" s="5">
        <f>A73+A76+A79+B81</f>
        <v>0</v>
      </c>
      <c r="D88" s="5">
        <f>H99-J99+H102-J102+H105-J105+J107-H107</f>
        <v>0</v>
      </c>
    </row>
    <row r="89" spans="1:4" ht="15" hidden="1">
      <c r="A89" s="6">
        <f>D67</f>
        <v>1.0004</v>
      </c>
      <c r="B89" s="5" t="str">
        <f>Spielernamen_Einstellungen!J47</f>
        <v>Frei_9 - Frei_29</v>
      </c>
      <c r="C89" s="5">
        <f>B73+B75+B77+B80</f>
        <v>0</v>
      </c>
      <c r="D89" s="5">
        <f>J99-H99+J101-H101+J103-H103+J106-H106</f>
        <v>0</v>
      </c>
    </row>
    <row r="90" spans="1:4" ht="15" hidden="1">
      <c r="A90" s="6">
        <f>D68</f>
        <v>1.0005</v>
      </c>
      <c r="B90" s="5" t="str">
        <f>Spielernamen_Einstellungen!J48</f>
        <v>Frei_10 - Frei_30</v>
      </c>
      <c r="C90" s="5">
        <f>B74+B76+B78+A80</f>
        <v>0</v>
      </c>
      <c r="D90" s="5">
        <f>J100-H100+J102-H102+J104-H104+H106-J106</f>
        <v>0</v>
      </c>
    </row>
    <row r="91" ht="15" hidden="1">
      <c r="A91" t="s">
        <v>21</v>
      </c>
    </row>
    <row r="92" ht="15" hidden="1"/>
    <row r="95" spans="1:10" ht="23.25">
      <c r="A95" s="21" t="s">
        <v>5</v>
      </c>
      <c r="B95" s="20"/>
      <c r="C95" s="20"/>
      <c r="D95" s="20"/>
      <c r="E95" s="20"/>
      <c r="F95" s="20"/>
      <c r="G95" s="20"/>
      <c r="H95" s="20"/>
      <c r="I95" s="20"/>
      <c r="J95" s="20"/>
    </row>
    <row r="97" spans="1:10" ht="15">
      <c r="A97" s="11" t="s">
        <v>24</v>
      </c>
      <c r="B97" s="11" t="s">
        <v>22</v>
      </c>
      <c r="C97" s="11" t="s">
        <v>6</v>
      </c>
      <c r="D97" s="11" t="s">
        <v>9</v>
      </c>
      <c r="F97" s="11" t="s">
        <v>26</v>
      </c>
      <c r="G97" s="10" t="s">
        <v>25</v>
      </c>
      <c r="H97" s="15" t="s">
        <v>7</v>
      </c>
      <c r="I97" s="16"/>
      <c r="J97" s="17"/>
    </row>
    <row r="98" spans="1:10" ht="15">
      <c r="A98" s="9">
        <f>IF(ROW($A$1)&gt;COUNT(D64:D68),"",SMALL(D64:D68,ROW($A$1)))</f>
        <v>1.0001</v>
      </c>
      <c r="B98" s="12" t="str">
        <f>IF($A98="","",INDEX(B86:B90,MATCH($A98,$A86:A90,0)))</f>
        <v>Frei_6 - Frei_26</v>
      </c>
      <c r="C98" s="13">
        <f>VLOOKUP(B98,B86:D90,2,FALSE)</f>
        <v>0</v>
      </c>
      <c r="D98" s="13">
        <f>VLOOKUP(B98,B86:D90,3,FALSE)</f>
        <v>0</v>
      </c>
      <c r="F98" s="8">
        <v>1</v>
      </c>
      <c r="G98" s="12" t="str">
        <f>CONCATENATE(B86," &lt;&lt;&lt;vs.&gt;&gt;&gt; ",B87)</f>
        <v>Frei_6 - Frei_26 &lt;&lt;&lt;vs.&gt;&gt;&gt; Frei_7 - Frei_27</v>
      </c>
      <c r="H98" s="18"/>
      <c r="I98" s="14" t="s">
        <v>8</v>
      </c>
      <c r="J98" s="19"/>
    </row>
    <row r="99" spans="1:10" ht="15">
      <c r="A99" s="9">
        <f>IF(ROW($A$2)&gt;COUNT(D64:D68),"",SMALL(D64:D68,ROW($A$2)))</f>
        <v>1.0002</v>
      </c>
      <c r="B99" s="12" t="str">
        <f>IF($A99="","",INDEX(B86:B90,MATCH($A99,$A86:A90,0)))</f>
        <v>Frei_7 - Frei_27</v>
      </c>
      <c r="C99" s="13">
        <f>VLOOKUP(B99,B86:D90,2,FALSE)</f>
        <v>0</v>
      </c>
      <c r="D99" s="13">
        <f>VLOOKUP(B99,B86:D90,3,FALSE)</f>
        <v>0</v>
      </c>
      <c r="F99" s="8">
        <v>2</v>
      </c>
      <c r="G99" s="12" t="str">
        <f>CONCATENATE(B88," &lt;&lt;&lt;vs.&gt;&gt;&gt; ",B89)</f>
        <v>Frei_8 - Frei_28 &lt;&lt;&lt;vs.&gt;&gt;&gt; Frei_9 - Frei_29</v>
      </c>
      <c r="H99" s="18"/>
      <c r="I99" s="14" t="s">
        <v>8</v>
      </c>
      <c r="J99" s="19"/>
    </row>
    <row r="100" spans="1:10" ht="15">
      <c r="A100" s="9">
        <f>IF(ROW($A$3)&gt;COUNT(D64:D68),"",SMALL(D64:D68,ROW($A$3)))</f>
        <v>1.0003</v>
      </c>
      <c r="B100" s="12" t="str">
        <f>IF($A100="","",INDEX(B86:B90,MATCH($A100,$A86:A90,0)))</f>
        <v>Frei_8 - Frei_28</v>
      </c>
      <c r="C100" s="13">
        <f>VLOOKUP(B100,B86:D90,2,FALSE)</f>
        <v>0</v>
      </c>
      <c r="D100" s="13">
        <f>VLOOKUP(B100,B86:D90,3,FALSE)</f>
        <v>0</v>
      </c>
      <c r="F100" s="8">
        <v>3</v>
      </c>
      <c r="G100" s="12" t="str">
        <f>CONCATENATE(B86," &lt;&lt;&lt;vs.&gt;&gt;&gt; ",B90)</f>
        <v>Frei_6 - Frei_26 &lt;&lt;&lt;vs.&gt;&gt;&gt; Frei_10 - Frei_30</v>
      </c>
      <c r="H100" s="18"/>
      <c r="I100" s="14" t="s">
        <v>8</v>
      </c>
      <c r="J100" s="19"/>
    </row>
    <row r="101" spans="1:10" ht="15">
      <c r="A101" s="9">
        <f>IF(ROW($A$4)&gt;COUNT(D64:D68),"",SMALL(D64:D68,ROW($A$4)))</f>
        <v>1.0004</v>
      </c>
      <c r="B101" s="12" t="str">
        <f>IF($A101="","",INDEX(B86:B90,MATCH($A101,$A86:A90,0)))</f>
        <v>Frei_9 - Frei_29</v>
      </c>
      <c r="C101" s="13">
        <f>VLOOKUP(B101,B86:D90,2,FALSE)</f>
        <v>0</v>
      </c>
      <c r="D101" s="13">
        <f>VLOOKUP(B101,B86:D90,3,FALSE)</f>
        <v>0</v>
      </c>
      <c r="F101" s="8">
        <v>4</v>
      </c>
      <c r="G101" s="12" t="str">
        <f>CONCATENATE(B87," &lt;&lt;&lt;vs.&gt;&gt;&gt; ",B89)</f>
        <v>Frei_7 - Frei_27 &lt;&lt;&lt;vs.&gt;&gt;&gt; Frei_9 - Frei_29</v>
      </c>
      <c r="H101" s="18"/>
      <c r="I101" s="14" t="s">
        <v>8</v>
      </c>
      <c r="J101" s="19"/>
    </row>
    <row r="102" spans="1:10" ht="15">
      <c r="A102" s="9">
        <f>IF(ROW($A$5)&gt;COUNT(D64:D68),"",SMALL(D64:D68,ROW($A$5)))</f>
        <v>1.0005</v>
      </c>
      <c r="B102" s="12" t="str">
        <f>IF($A102="","",INDEX(B86:B90,MATCH($A102,$A86:A90,0)))</f>
        <v>Frei_10 - Frei_30</v>
      </c>
      <c r="C102" s="13">
        <f>VLOOKUP(B102,B86:D90,2,FALSE)</f>
        <v>0</v>
      </c>
      <c r="D102" s="13">
        <f>VLOOKUP(B102,B86:D90,3,FALSE)</f>
        <v>0</v>
      </c>
      <c r="F102" s="8">
        <v>5</v>
      </c>
      <c r="G102" s="12" t="str">
        <f>CONCATENATE(B88," &lt;&lt;&lt;vs.&gt;&gt;&gt; ",B90)</f>
        <v>Frei_8 - Frei_28 &lt;&lt;&lt;vs.&gt;&gt;&gt; Frei_10 - Frei_30</v>
      </c>
      <c r="H102" s="18"/>
      <c r="I102" s="14" t="s">
        <v>8</v>
      </c>
      <c r="J102" s="19"/>
    </row>
    <row r="103" spans="6:10" ht="15">
      <c r="F103" s="8">
        <v>6</v>
      </c>
      <c r="G103" s="12" t="str">
        <f>CONCATENATE(B86," &lt;&lt;&lt;vs.&gt;&gt;&gt; ",B89)</f>
        <v>Frei_6 - Frei_26 &lt;&lt;&lt;vs.&gt;&gt;&gt; Frei_9 - Frei_29</v>
      </c>
      <c r="H103" s="18"/>
      <c r="I103" s="14" t="s">
        <v>8</v>
      </c>
      <c r="J103" s="19"/>
    </row>
    <row r="104" spans="6:10" ht="15">
      <c r="F104" s="8">
        <v>7</v>
      </c>
      <c r="G104" s="12" t="str">
        <f>CONCATENATE(B87," &lt;&lt;&lt;vs.&gt;&gt;&gt; ",B90)</f>
        <v>Frei_7 - Frei_27 &lt;&lt;&lt;vs.&gt;&gt;&gt; Frei_10 - Frei_30</v>
      </c>
      <c r="H104" s="18"/>
      <c r="I104" s="14" t="s">
        <v>8</v>
      </c>
      <c r="J104" s="19"/>
    </row>
    <row r="105" spans="6:10" ht="15">
      <c r="F105" s="8">
        <v>8</v>
      </c>
      <c r="G105" s="12" t="str">
        <f>CONCATENATE(B88," &lt;&lt;&lt;vs.&gt;&gt;&gt; ",B86)</f>
        <v>Frei_8 - Frei_28 &lt;&lt;&lt;vs.&gt;&gt;&gt; Frei_6 - Frei_26</v>
      </c>
      <c r="H105" s="18"/>
      <c r="I105" s="14" t="s">
        <v>8</v>
      </c>
      <c r="J105" s="19"/>
    </row>
    <row r="106" spans="6:10" ht="15">
      <c r="F106" s="8">
        <v>9</v>
      </c>
      <c r="G106" s="12" t="str">
        <f>CONCATENATE(B90," &lt;&lt;&lt;vs.&gt;&gt;&gt; ",B89)</f>
        <v>Frei_10 - Frei_30 &lt;&lt;&lt;vs.&gt;&gt;&gt; Frei_9 - Frei_29</v>
      </c>
      <c r="H106" s="18"/>
      <c r="I106" s="14" t="s">
        <v>8</v>
      </c>
      <c r="J106" s="19"/>
    </row>
    <row r="107" spans="6:10" ht="15">
      <c r="F107" s="8">
        <v>10</v>
      </c>
      <c r="G107" s="12" t="str">
        <f>CONCATENATE(B87," &lt;&lt;&lt;vs.&gt;&gt;&gt; ",B88)</f>
        <v>Frei_7 - Frei_27 &lt;&lt;&lt;vs.&gt;&gt;&gt; Frei_8 - Frei_28</v>
      </c>
      <c r="H107" s="18"/>
      <c r="I107" s="14" t="s">
        <v>8</v>
      </c>
      <c r="J107" s="19"/>
    </row>
    <row r="109" ht="15" hidden="1"/>
    <row r="110" ht="15" hidden="1"/>
    <row r="111" ht="15" hidden="1"/>
    <row r="112" ht="15" hidden="1"/>
    <row r="113" ht="15" hidden="1"/>
    <row r="114" ht="15" hidden="1"/>
    <row r="115" ht="15.75" thickBot="1"/>
    <row r="116" spans="1:10" ht="24" thickBot="1">
      <c r="A116" s="56" t="s">
        <v>104</v>
      </c>
      <c r="B116" s="57"/>
      <c r="C116" s="57"/>
      <c r="D116" s="57"/>
      <c r="E116" s="57"/>
      <c r="F116" s="57"/>
      <c r="G116" s="57"/>
      <c r="H116" s="57"/>
      <c r="I116" s="57"/>
      <c r="J116" s="58"/>
    </row>
    <row r="119" ht="15" hidden="1">
      <c r="A119" t="s">
        <v>129</v>
      </c>
    </row>
    <row r="120" ht="15" hidden="1">
      <c r="A120" t="s">
        <v>131</v>
      </c>
    </row>
    <row r="121" spans="1:3" ht="15" hidden="1">
      <c r="A121" t="s">
        <v>132</v>
      </c>
      <c r="C121" s="66">
        <f>ROUND(A101,0)</f>
        <v>1</v>
      </c>
    </row>
    <row r="122" spans="1:3" ht="15" hidden="1">
      <c r="A122" t="s">
        <v>133</v>
      </c>
      <c r="C122" s="66">
        <f>ROUND(A102,0)</f>
        <v>1</v>
      </c>
    </row>
    <row r="123" spans="1:3" ht="15" hidden="1">
      <c r="A123" t="s">
        <v>134</v>
      </c>
      <c r="C123" s="66">
        <f>ROUND(A50,0)</f>
        <v>1</v>
      </c>
    </row>
    <row r="124" spans="1:3" ht="15" hidden="1">
      <c r="A124" t="s">
        <v>135</v>
      </c>
      <c r="C124" s="66">
        <f>ROUND(A51,0)</f>
        <v>1</v>
      </c>
    </row>
    <row r="125" ht="15" hidden="1"/>
    <row r="126" ht="15" hidden="1">
      <c r="A126" t="s">
        <v>130</v>
      </c>
    </row>
    <row r="127" ht="15" hidden="1"/>
    <row r="129" spans="1:2" ht="15">
      <c r="A129" s="11" t="s">
        <v>46</v>
      </c>
      <c r="B129" s="11" t="s">
        <v>105</v>
      </c>
    </row>
    <row r="130" spans="1:2" ht="15">
      <c r="A130" s="9">
        <v>1</v>
      </c>
      <c r="B130" s="12" t="str">
        <f>B47</f>
        <v>Frei_1 - Frei_21</v>
      </c>
    </row>
    <row r="131" spans="1:2" ht="15">
      <c r="A131" s="9">
        <v>2</v>
      </c>
      <c r="B131" s="12" t="str">
        <f>B98</f>
        <v>Frei_6 - Frei_26</v>
      </c>
    </row>
    <row r="132" spans="1:2" ht="15">
      <c r="A132" s="9">
        <v>3</v>
      </c>
      <c r="B132" s="12" t="str">
        <f>B48</f>
        <v>Frei_2 - Frei_22</v>
      </c>
    </row>
    <row r="133" spans="1:2" ht="15">
      <c r="A133" s="9">
        <v>4</v>
      </c>
      <c r="B133" s="12" t="str">
        <f>B99</f>
        <v>Frei_7 - Frei_27</v>
      </c>
    </row>
    <row r="134" spans="1:2" ht="15">
      <c r="A134" s="9">
        <v>5</v>
      </c>
      <c r="B134" s="12" t="str">
        <f>B49</f>
        <v>Frei_3 - Frei_23</v>
      </c>
    </row>
    <row r="135" spans="1:2" ht="15">
      <c r="A135" s="9">
        <v>6</v>
      </c>
      <c r="B135" s="12" t="str">
        <f>B100</f>
        <v>Frei_8 - Frei_28</v>
      </c>
    </row>
    <row r="136" spans="1:2" ht="15">
      <c r="A136" s="9">
        <v>7</v>
      </c>
      <c r="B136" s="12" t="str">
        <f>B50</f>
        <v>Frei_4 - Frei_24</v>
      </c>
    </row>
    <row r="137" spans="1:2" ht="15">
      <c r="A137" s="9">
        <v>8</v>
      </c>
      <c r="B137" s="12" t="str">
        <f>B101</f>
        <v>Frei_9 - Frei_29</v>
      </c>
    </row>
    <row r="140" ht="21" customHeight="1" thickBot="1">
      <c r="A140" s="61" t="s">
        <v>169</v>
      </c>
    </row>
    <row r="141" spans="1:2" ht="15">
      <c r="A141" s="122" t="str">
        <f>IF(C123=C124,"Achtung Team 7! 4. und 5. Platz Gruppe A sind gleich","")</f>
        <v>Achtung Team 7! 4. und 5. Platz Gruppe A sind gleich</v>
      </c>
      <c r="B141" s="123"/>
    </row>
    <row r="142" spans="1:2" ht="15.75" thickBot="1">
      <c r="A142" s="126" t="str">
        <f>IF(C121=C122,"Achtung Team 8! 4. und 5. Platz Gruppe B sind gleich","")</f>
        <v>Achtung Team 8! 4. und 5. Platz Gruppe B sind gleich</v>
      </c>
      <c r="B142" s="127"/>
    </row>
  </sheetData>
  <sheetProtection password="BEE8" sheet="1" selectLockedCells="1"/>
  <mergeCells count="3">
    <mergeCell ref="A41:J41"/>
    <mergeCell ref="A141:B141"/>
    <mergeCell ref="A142:B1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rgb="FF00B050"/>
  </sheetPr>
  <dimension ref="B2:N35"/>
  <sheetViews>
    <sheetView showGridLines="0" zoomScalePageLayoutView="0" workbookViewId="0" topLeftCell="A1">
      <selection activeCell="G7" sqref="G7"/>
    </sheetView>
  </sheetViews>
  <sheetFormatPr defaultColWidth="11.421875" defaultRowHeight="15"/>
  <cols>
    <col min="2" max="2" width="13.7109375" style="0" bestFit="1" customWidth="1"/>
    <col min="3" max="3" width="40.421875" style="0" bestFit="1" customWidth="1"/>
    <col min="4" max="4" width="75.8515625" style="0" customWidth="1"/>
    <col min="5" max="5" width="3.28125" style="0" customWidth="1"/>
    <col min="6" max="6" width="2.00390625" style="0" customWidth="1"/>
    <col min="7" max="7" width="3.28125" style="0" customWidth="1"/>
    <col min="8" max="8" width="11.421875" style="0" customWidth="1"/>
    <col min="9" max="9" width="17.421875" style="0" hidden="1" customWidth="1"/>
    <col min="10" max="15" width="11.421875" style="0" hidden="1" customWidth="1"/>
  </cols>
  <sheetData>
    <row r="1" ht="15.75" thickBot="1"/>
    <row r="2" spans="2:7" ht="24" thickBot="1">
      <c r="B2" s="119" t="s">
        <v>127</v>
      </c>
      <c r="C2" s="120"/>
      <c r="D2" s="120"/>
      <c r="E2" s="120"/>
      <c r="F2" s="120"/>
      <c r="G2" s="121"/>
    </row>
    <row r="5" spans="2:13" ht="23.25">
      <c r="B5" s="21" t="s">
        <v>36</v>
      </c>
      <c r="C5" s="20"/>
      <c r="D5" s="21"/>
      <c r="E5" s="20"/>
      <c r="F5" s="21"/>
      <c r="G5" s="20"/>
      <c r="M5" t="s">
        <v>53</v>
      </c>
    </row>
    <row r="6" spans="2:7" ht="15">
      <c r="B6" s="11" t="s">
        <v>26</v>
      </c>
      <c r="C6" s="11"/>
      <c r="D6" s="10" t="s">
        <v>25</v>
      </c>
      <c r="E6" s="15" t="s">
        <v>7</v>
      </c>
      <c r="F6" s="16"/>
      <c r="G6" s="17"/>
    </row>
    <row r="7" spans="2:14" ht="15">
      <c r="B7" s="8">
        <v>1</v>
      </c>
      <c r="C7" s="8" t="s">
        <v>80</v>
      </c>
      <c r="D7" s="12" t="str">
        <f>CONCATENATE(Vorrunde_12341234!B47," &lt;&lt;&lt;vs.&gt;&gt;&gt; ",Vorrunde_12341234!B101)</f>
        <v>Frei_1 - Frei_21 &lt;&lt;&lt;vs.&gt;&gt;&gt; Frei_9 - Frei_29</v>
      </c>
      <c r="E7" s="18"/>
      <c r="F7" s="14" t="s">
        <v>8</v>
      </c>
      <c r="G7" s="19"/>
      <c r="I7">
        <f>IF(E7=G7,"",IF(E7&gt;G7,Vorrunde_12341234!B47,Vorrunde_12341234!B101))</f>
      </c>
      <c r="M7" t="s">
        <v>54</v>
      </c>
      <c r="N7" t="s">
        <v>55</v>
      </c>
    </row>
    <row r="8" spans="2:14" ht="15">
      <c r="B8" s="8">
        <v>2</v>
      </c>
      <c r="C8" s="8" t="s">
        <v>136</v>
      </c>
      <c r="D8" s="12" t="str">
        <f>CONCATENATE(Vorrunde_12341234!B98," &lt;&lt;&lt;vs.&gt;&gt;&gt; ",Vorrunde_12341234!B50)</f>
        <v>Frei_6 - Frei_26 &lt;&lt;&lt;vs.&gt;&gt;&gt; Frei_4 - Frei_24</v>
      </c>
      <c r="E8" s="18"/>
      <c r="F8" s="14" t="s">
        <v>8</v>
      </c>
      <c r="G8" s="19"/>
      <c r="I8">
        <f>IF(E8=G8,"",IF(E8&gt;G8,Vorrunde_12341234!B98,Vorrunde_12341234!B50))</f>
      </c>
      <c r="M8">
        <v>1</v>
      </c>
      <c r="N8">
        <f>J26</f>
      </c>
    </row>
    <row r="9" spans="2:14" ht="15">
      <c r="B9" s="8">
        <v>3</v>
      </c>
      <c r="C9" s="8" t="s">
        <v>81</v>
      </c>
      <c r="D9" s="12" t="str">
        <f>CONCATENATE(Vorrunde_12341234!B48," &lt;&lt;&lt;vs.&gt;&gt;&gt; ",Vorrunde_12341234!B100)</f>
        <v>Frei_2 - Frei_22 &lt;&lt;&lt;vs.&gt;&gt;&gt; Frei_8 - Frei_28</v>
      </c>
      <c r="E9" s="18"/>
      <c r="F9" s="14" t="s">
        <v>8</v>
      </c>
      <c r="G9" s="19"/>
      <c r="I9">
        <f>IF(E9=G9,"",IF(E9&gt;G9,Vorrunde_12341234!B48,Vorrunde_12341234!B100))</f>
      </c>
      <c r="M9">
        <v>2</v>
      </c>
      <c r="N9">
        <f>I26</f>
      </c>
    </row>
    <row r="10" spans="2:14" ht="15">
      <c r="B10" s="8">
        <v>4</v>
      </c>
      <c r="C10" s="8" t="s">
        <v>138</v>
      </c>
      <c r="D10" s="12" t="str">
        <f>CONCATENATE(Vorrunde_12341234!B99," &lt;&lt;&lt;vs.&gt;&gt;&gt; ",Vorrunde_12341234!B49)</f>
        <v>Frei_7 - Frei_27 &lt;&lt;&lt;vs.&gt;&gt;&gt; Frei_3 - Frei_23</v>
      </c>
      <c r="E10" s="18"/>
      <c r="F10" s="14" t="s">
        <v>8</v>
      </c>
      <c r="G10" s="19"/>
      <c r="I10">
        <f>IF(E10=G10,"",IF(E10&gt;G10,Vorrunde_12341234!B99,Vorrunde_12341234!B49))</f>
      </c>
      <c r="M10">
        <v>3</v>
      </c>
      <c r="N10">
        <f>I21</f>
      </c>
    </row>
    <row r="11" spans="13:14" ht="15">
      <c r="M11">
        <v>4</v>
      </c>
      <c r="N11">
        <f>J21</f>
      </c>
    </row>
    <row r="13" spans="2:7" ht="23.25">
      <c r="B13" s="21" t="s">
        <v>37</v>
      </c>
      <c r="C13" s="20"/>
      <c r="D13" s="21"/>
      <c r="E13" s="20"/>
      <c r="F13" s="21"/>
      <c r="G13" s="20"/>
    </row>
    <row r="14" spans="2:10" ht="15">
      <c r="B14" s="11" t="s">
        <v>26</v>
      </c>
      <c r="C14" s="11"/>
      <c r="D14" s="10" t="s">
        <v>25</v>
      </c>
      <c r="E14" s="15" t="s">
        <v>7</v>
      </c>
      <c r="F14" s="16"/>
      <c r="G14" s="17"/>
      <c r="I14" t="s">
        <v>40</v>
      </c>
      <c r="J14" t="s">
        <v>41</v>
      </c>
    </row>
    <row r="15" spans="2:10" ht="15">
      <c r="B15" s="8">
        <v>1</v>
      </c>
      <c r="C15" s="8" t="s">
        <v>42</v>
      </c>
      <c r="D15" s="12" t="str">
        <f>CONCATENATE(I7," &lt;&lt;&lt;vs.&gt;&gt;&gt; ",I9)</f>
        <v> &lt;&lt;&lt;vs.&gt;&gt;&gt; </v>
      </c>
      <c r="E15" s="18"/>
      <c r="F15" s="14" t="s">
        <v>8</v>
      </c>
      <c r="G15" s="19"/>
      <c r="I15">
        <f>IF(E15=G15,"",IF(E15&gt;G15,I7,I9))</f>
      </c>
      <c r="J15">
        <f>IF(E15=G15,"",IF(E15&lt;G15,I7,I9))</f>
      </c>
    </row>
    <row r="16" spans="2:10" ht="15">
      <c r="B16" s="8">
        <v>2</v>
      </c>
      <c r="C16" s="8" t="s">
        <v>43</v>
      </c>
      <c r="D16" s="12" t="str">
        <f>CONCATENATE(I8," &lt;&lt;&lt;vs.&gt;&gt;&gt; ",I10)</f>
        <v> &lt;&lt;&lt;vs.&gt;&gt;&gt; </v>
      </c>
      <c r="E16" s="18"/>
      <c r="F16" s="14" t="s">
        <v>8</v>
      </c>
      <c r="G16" s="19"/>
      <c r="I16">
        <f>IF(E16=G16,"",IF(E16&gt;G16,I8,I10))</f>
      </c>
      <c r="J16">
        <f>IF(E16=G16,"",IF(E16&lt;G16,I8,I10))</f>
      </c>
    </row>
    <row r="19" spans="2:7" ht="23.25">
      <c r="B19" s="21" t="s">
        <v>38</v>
      </c>
      <c r="C19" s="20"/>
      <c r="D19" s="21"/>
      <c r="E19" s="20"/>
      <c r="F19" s="21"/>
      <c r="G19" s="20"/>
    </row>
    <row r="20" spans="2:7" ht="15">
      <c r="B20" s="11" t="s">
        <v>26</v>
      </c>
      <c r="C20" s="11"/>
      <c r="D20" s="10" t="s">
        <v>25</v>
      </c>
      <c r="E20" s="15" t="s">
        <v>7</v>
      </c>
      <c r="F20" s="16"/>
      <c r="G20" s="17"/>
    </row>
    <row r="21" spans="2:10" ht="15">
      <c r="B21" s="8">
        <v>1</v>
      </c>
      <c r="C21" s="8" t="s">
        <v>44</v>
      </c>
      <c r="D21" s="12" t="str">
        <f>CONCATENATE(J15," &lt;&lt;&lt;vs.&gt;&gt;&gt; ",J16)</f>
        <v> &lt;&lt;&lt;vs.&gt;&gt;&gt; </v>
      </c>
      <c r="E21" s="18"/>
      <c r="F21" s="14" t="s">
        <v>8</v>
      </c>
      <c r="G21" s="19"/>
      <c r="I21">
        <f>IF(E21=G21,"",IF(E21&gt;G21,J15,J16))</f>
      </c>
      <c r="J21">
        <f>IF(E21=G21,"",IF(E21&gt;G21,J16,J15))</f>
      </c>
    </row>
    <row r="24" spans="2:7" ht="23.25">
      <c r="B24" s="21" t="s">
        <v>39</v>
      </c>
      <c r="C24" s="20"/>
      <c r="D24" s="21"/>
      <c r="E24" s="20"/>
      <c r="F24" s="21"/>
      <c r="G24" s="20"/>
    </row>
    <row r="25" spans="2:7" ht="15">
      <c r="B25" s="11" t="s">
        <v>26</v>
      </c>
      <c r="C25" s="11"/>
      <c r="D25" s="10" t="s">
        <v>25</v>
      </c>
      <c r="E25" s="15" t="s">
        <v>7</v>
      </c>
      <c r="F25" s="16"/>
      <c r="G25" s="17"/>
    </row>
    <row r="26" spans="2:10" ht="15">
      <c r="B26" s="8">
        <v>1</v>
      </c>
      <c r="C26" s="8" t="s">
        <v>45</v>
      </c>
      <c r="D26" s="12" t="str">
        <f>CONCATENATE(I15," &lt;&lt;&lt;vs.&gt;&gt;&gt; ",I16)</f>
        <v> &lt;&lt;&lt;vs.&gt;&gt;&gt; </v>
      </c>
      <c r="E26" s="18"/>
      <c r="F26" s="14" t="s">
        <v>8</v>
      </c>
      <c r="G26" s="19"/>
      <c r="I26">
        <f>IF(E26=G26,"",IF(E26&lt;G26,I15,I16))</f>
      </c>
      <c r="J26">
        <f>IF(E26=G26,"",IF(E26&gt;G26,I15,I16))</f>
      </c>
    </row>
    <row r="30" spans="2:7" ht="26.25">
      <c r="B30" s="128" t="s">
        <v>59</v>
      </c>
      <c r="C30" s="128"/>
      <c r="D30" s="128"/>
      <c r="E30" s="128"/>
      <c r="F30" s="128"/>
      <c r="G30" s="128"/>
    </row>
    <row r="31" spans="2:7" ht="32.25">
      <c r="B31" s="129" t="str">
        <f>CONCATENATE("Platz 1:"," ",J26,"")</f>
        <v>Platz 1: </v>
      </c>
      <c r="C31" s="129"/>
      <c r="D31" s="129"/>
      <c r="E31" s="129"/>
      <c r="F31" s="129"/>
      <c r="G31" s="129"/>
    </row>
    <row r="33" spans="2:7" ht="21">
      <c r="B33" s="51" t="s">
        <v>56</v>
      </c>
      <c r="C33" s="51">
        <f>N9</f>
      </c>
      <c r="D33" s="51"/>
      <c r="E33" s="51"/>
      <c r="F33" s="51"/>
      <c r="G33" s="51"/>
    </row>
    <row r="34" spans="2:7" ht="21">
      <c r="B34" s="51" t="s">
        <v>57</v>
      </c>
      <c r="C34" s="51">
        <f>N10</f>
      </c>
      <c r="D34" s="51"/>
      <c r="E34" s="51"/>
      <c r="F34" s="51"/>
      <c r="G34" s="51"/>
    </row>
    <row r="35" spans="2:7" ht="21">
      <c r="B35" s="51" t="s">
        <v>58</v>
      </c>
      <c r="C35" s="51">
        <f>N11</f>
      </c>
      <c r="D35" s="51"/>
      <c r="E35" s="51"/>
      <c r="F35" s="51"/>
      <c r="G35" s="51"/>
    </row>
  </sheetData>
  <sheetProtection password="BEE8" sheet="1" selectLockedCells="1"/>
  <mergeCells count="3">
    <mergeCell ref="B2:G2"/>
    <mergeCell ref="B30:G30"/>
    <mergeCell ref="B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rgb="FF0070C0"/>
  </sheetPr>
  <dimension ref="A1:J138"/>
  <sheetViews>
    <sheetView showGridLines="0" zoomScalePageLayoutView="0" workbookViewId="0" topLeftCell="A40">
      <selection activeCell="J98" sqref="J98:J107"/>
    </sheetView>
  </sheetViews>
  <sheetFormatPr defaultColWidth="11.421875" defaultRowHeight="15"/>
  <cols>
    <col min="1" max="1" width="7.28125" style="0" customWidth="1"/>
    <col min="2" max="2" width="39.28125" style="0" customWidth="1"/>
    <col min="3" max="3" width="9.140625" style="0" customWidth="1"/>
    <col min="4" max="5" width="10.7109375" style="0" customWidth="1"/>
    <col min="6" max="6" width="9.140625" style="0" customWidth="1"/>
    <col min="7" max="7" width="63.00390625" style="0" customWidth="1"/>
    <col min="8" max="8" width="3.28125" style="0" customWidth="1"/>
    <col min="9" max="9" width="2.00390625" style="0" customWidth="1"/>
    <col min="10" max="10" width="3.28125" style="0" customWidth="1"/>
    <col min="12" max="12" width="23.00390625" style="0" customWidth="1"/>
  </cols>
  <sheetData>
    <row r="1" ht="15" hidden="1">
      <c r="A1" s="23"/>
    </row>
    <row r="2" ht="15" hidden="1">
      <c r="A2" s="24"/>
    </row>
    <row r="3" ht="15" hidden="1">
      <c r="A3" s="24"/>
    </row>
    <row r="4" ht="15" hidden="1">
      <c r="A4" s="24"/>
    </row>
    <row r="5" ht="15" hidden="1">
      <c r="A5" s="24"/>
    </row>
    <row r="6" ht="15" hidden="1">
      <c r="A6" s="24"/>
    </row>
    <row r="7" ht="15" hidden="1">
      <c r="A7" s="24"/>
    </row>
    <row r="8" ht="15.75" hidden="1" thickBot="1">
      <c r="A8" s="25"/>
    </row>
    <row r="9" ht="15" hidden="1">
      <c r="A9" t="s">
        <v>20</v>
      </c>
    </row>
    <row r="10" spans="1:3" ht="15" hidden="1">
      <c r="A10" t="s">
        <v>102</v>
      </c>
      <c r="C10" t="s">
        <v>103</v>
      </c>
    </row>
    <row r="11" spans="1:4" ht="15" hidden="1">
      <c r="A11" s="4" t="s">
        <v>16</v>
      </c>
      <c r="B11" s="4" t="s">
        <v>17</v>
      </c>
      <c r="C11" s="4" t="s">
        <v>18</v>
      </c>
      <c r="D11" s="4" t="s">
        <v>19</v>
      </c>
    </row>
    <row r="12" spans="1:4" ht="15" hidden="1">
      <c r="A12" s="4">
        <f>RANK(C34,C34:C38,0)</f>
        <v>1</v>
      </c>
      <c r="B12" s="4">
        <f>RANK(D34,D34:D38,0)</f>
        <v>1</v>
      </c>
      <c r="C12" s="4">
        <f>A12+(B12/10)</f>
        <v>1.1</v>
      </c>
      <c r="D12" s="7">
        <f>IF(C12="","",RANK(C12,C12:C16,1)+ROW($A$1)%%)</f>
        <v>1.0001</v>
      </c>
    </row>
    <row r="13" spans="1:4" ht="15" hidden="1">
      <c r="A13" s="4">
        <f>RANK(C35,C34:C38,0)</f>
        <v>1</v>
      </c>
      <c r="B13" s="4">
        <f>RANK(D35,D34:D38,0)</f>
        <v>1</v>
      </c>
      <c r="C13" s="4">
        <f>A13+(B13/10)</f>
        <v>1.1</v>
      </c>
      <c r="D13" s="7">
        <f>IF(C13="","",RANK(C13,C12:C16,1)+ROW($A$2)%%)</f>
        <v>1.0002</v>
      </c>
    </row>
    <row r="14" spans="1:4" ht="15" hidden="1">
      <c r="A14" s="4">
        <f>RANK(C36,C34:C38,0)</f>
        <v>1</v>
      </c>
      <c r="B14" s="4">
        <f>RANK(D36,D34:D38,0)</f>
        <v>1</v>
      </c>
      <c r="C14" s="4">
        <f>A14+(B14/10)</f>
        <v>1.1</v>
      </c>
      <c r="D14" s="7">
        <f>IF(C14="","",RANK(C14,C12:C16,1)+ROW($A$3)%%)</f>
        <v>1.0003</v>
      </c>
    </row>
    <row r="15" spans="1:4" ht="15" hidden="1">
      <c r="A15" s="4">
        <f>RANK(C37,C34:C38,0)</f>
        <v>1</v>
      </c>
      <c r="B15" s="4">
        <f>RANK(D37,D34:D38,0)</f>
        <v>1</v>
      </c>
      <c r="C15" s="4">
        <f>A15+(B15/10)</f>
        <v>1.1</v>
      </c>
      <c r="D15" s="7">
        <f>IF(C15="","",RANK(C15,C12:C16,1)+ROW($A$4)%%)</f>
        <v>1.0004</v>
      </c>
    </row>
    <row r="16" spans="1:4" ht="15" hidden="1">
      <c r="A16" s="4">
        <f>RANK(C38,C34:C38,0)</f>
        <v>1</v>
      </c>
      <c r="B16" s="4">
        <f>RANK(D38,D34:D38,0)</f>
        <v>1</v>
      </c>
      <c r="C16" s="4">
        <f>A16+(B16/10)</f>
        <v>1.1</v>
      </c>
      <c r="D16" s="7">
        <f>IF(C16="","",RANK(C16,C12:C16,1)+ROW($A$5)%%)</f>
        <v>1.0005</v>
      </c>
    </row>
    <row r="17" ht="15" hidden="1"/>
    <row r="18" ht="15" hidden="1"/>
    <row r="19" spans="1:3" ht="15" hidden="1">
      <c r="A19" s="3" t="s">
        <v>23</v>
      </c>
      <c r="B19" s="3"/>
      <c r="C19" t="s">
        <v>26</v>
      </c>
    </row>
    <row r="20" spans="1:3" ht="15" hidden="1">
      <c r="A20" s="3">
        <f>IF(H47&gt;J47,Spielernamen_Einstellungen!$B$23,0)</f>
        <v>0</v>
      </c>
      <c r="B20" s="3">
        <f>IF(J47&gt;H47,Spielernamen_Einstellungen!$B$23,0)</f>
        <v>0</v>
      </c>
      <c r="C20">
        <v>1</v>
      </c>
    </row>
    <row r="21" spans="1:3" ht="15" hidden="1">
      <c r="A21" s="3">
        <f>IF(H48&gt;J48,Spielernamen_Einstellungen!$B$23,0)</f>
        <v>0</v>
      </c>
      <c r="B21" s="3">
        <f>IF(J48&gt;H48,Spielernamen_Einstellungen!$B$23,0)</f>
        <v>0</v>
      </c>
      <c r="C21">
        <v>2</v>
      </c>
    </row>
    <row r="22" spans="1:3" ht="15" hidden="1">
      <c r="A22" s="3">
        <f>IF(H49&gt;J49,Spielernamen_Einstellungen!$B$23,0)</f>
        <v>0</v>
      </c>
      <c r="B22" s="3">
        <f>IF(J49&gt;H49,Spielernamen_Einstellungen!$B$23,0)</f>
        <v>0</v>
      </c>
      <c r="C22">
        <v>3</v>
      </c>
    </row>
    <row r="23" spans="1:3" ht="15" hidden="1">
      <c r="A23" s="3">
        <f>IF(H50&gt;J50,Spielernamen_Einstellungen!$B$23,0)</f>
        <v>0</v>
      </c>
      <c r="B23" s="3">
        <f>IF(J50&gt;H50,Spielernamen_Einstellungen!$B$23,0)</f>
        <v>0</v>
      </c>
      <c r="C23">
        <v>4</v>
      </c>
    </row>
    <row r="24" spans="1:3" ht="15" hidden="1">
      <c r="A24" s="3">
        <f>IF(H51&gt;J51,Spielernamen_Einstellungen!$B$23,0)</f>
        <v>0</v>
      </c>
      <c r="B24" s="3">
        <f>IF(J51&gt;H51,Spielernamen_Einstellungen!$B$23,0)</f>
        <v>0</v>
      </c>
      <c r="C24">
        <v>5</v>
      </c>
    </row>
    <row r="25" spans="1:3" ht="15" hidden="1">
      <c r="A25" s="3">
        <f>IF(H52&gt;J52,Spielernamen_Einstellungen!$B$23,0)</f>
        <v>0</v>
      </c>
      <c r="B25" s="3">
        <f>IF(J52&gt;H52,Spielernamen_Einstellungen!$B$23,0)</f>
        <v>0</v>
      </c>
      <c r="C25">
        <v>6</v>
      </c>
    </row>
    <row r="26" spans="1:3" ht="15" hidden="1">
      <c r="A26" s="3">
        <f>IF(H53&gt;J53,Spielernamen_Einstellungen!$B$23,0)</f>
        <v>0</v>
      </c>
      <c r="B26" s="3">
        <f>IF(J53&gt;H53,Spielernamen_Einstellungen!$B$23,0)</f>
        <v>0</v>
      </c>
      <c r="C26">
        <v>7</v>
      </c>
    </row>
    <row r="27" spans="1:3" ht="15" hidden="1">
      <c r="A27" s="3">
        <f>IF(H54&gt;J54,Spielernamen_Einstellungen!$B$23,0)</f>
        <v>0</v>
      </c>
      <c r="B27" s="3">
        <f>IF(J54&gt;H54,Spielernamen_Einstellungen!$B$23,0)</f>
        <v>0</v>
      </c>
      <c r="C27">
        <v>8</v>
      </c>
    </row>
    <row r="28" spans="1:3" ht="15" hidden="1">
      <c r="A28" s="3">
        <f>IF(H55&gt;J55,Spielernamen_Einstellungen!$B$23,0)</f>
        <v>0</v>
      </c>
      <c r="B28" s="3">
        <f>IF(J55&gt;H55,Spielernamen_Einstellungen!$B$23,0)</f>
        <v>0</v>
      </c>
      <c r="C28">
        <v>9</v>
      </c>
    </row>
    <row r="29" spans="1:3" ht="15" hidden="1">
      <c r="A29" s="3">
        <f>IF(H56&gt;J56,Spielernamen_Einstellungen!$B$23,0)</f>
        <v>0</v>
      </c>
      <c r="B29" s="3">
        <f>IF(J56&gt;H56,Spielernamen_Einstellungen!$B$23,0)</f>
        <v>0</v>
      </c>
      <c r="C29">
        <v>10</v>
      </c>
    </row>
    <row r="30" ht="15" hidden="1"/>
    <row r="31" ht="15" hidden="1"/>
    <row r="32" spans="1:4" ht="15" hidden="1">
      <c r="A32" s="5"/>
      <c r="B32" s="22" t="s">
        <v>27</v>
      </c>
      <c r="C32" s="5"/>
      <c r="D32" s="5"/>
    </row>
    <row r="33" spans="1:4" ht="15" hidden="1">
      <c r="A33" s="5" t="s">
        <v>15</v>
      </c>
      <c r="B33" s="5"/>
      <c r="C33" s="5" t="s">
        <v>6</v>
      </c>
      <c r="D33" s="5" t="s">
        <v>9</v>
      </c>
    </row>
    <row r="34" spans="1:4" ht="15" hidden="1">
      <c r="A34" s="6">
        <f>D12</f>
        <v>1.0001</v>
      </c>
      <c r="B34" s="5" t="str">
        <f>Spielernamen_Einstellungen!I44</f>
        <v>Frei_1 - Frei_21</v>
      </c>
      <c r="C34" s="6">
        <f>A20+A22+A25+B27</f>
        <v>0</v>
      </c>
      <c r="D34" s="5">
        <f>H47+H49+H52-J47-J49-J52+J54-H54</f>
        <v>0</v>
      </c>
    </row>
    <row r="35" spans="1:4" ht="15" hidden="1">
      <c r="A35" s="6">
        <f>D13</f>
        <v>1.0002</v>
      </c>
      <c r="B35" s="5" t="str">
        <f>Spielernamen_Einstellungen!I45</f>
        <v>Frei_2 - Frei_22</v>
      </c>
      <c r="C35" s="5">
        <f>B20+A23+A26+A29</f>
        <v>0</v>
      </c>
      <c r="D35" s="5">
        <f>J47-H47+H50-J50+H53-J53+H56-J56</f>
        <v>0</v>
      </c>
    </row>
    <row r="36" spans="1:4" ht="15" hidden="1">
      <c r="A36" s="6">
        <f>D14</f>
        <v>1.0003</v>
      </c>
      <c r="B36" s="5" t="str">
        <f>Spielernamen_Einstellungen!I46</f>
        <v>Frei_3 - Frei_23</v>
      </c>
      <c r="C36" s="5">
        <f>A21+A24+A27+B29</f>
        <v>0</v>
      </c>
      <c r="D36" s="5">
        <f>H48-J48+H51-J51+H54-J54+J56-H56</f>
        <v>0</v>
      </c>
    </row>
    <row r="37" spans="1:4" ht="15" hidden="1">
      <c r="A37" s="6">
        <f>D15</f>
        <v>1.0004</v>
      </c>
      <c r="B37" s="5" t="str">
        <f>Spielernamen_Einstellungen!I47</f>
        <v>Frei_4 - Frei_24</v>
      </c>
      <c r="C37" s="5">
        <f>B21+B23+B25+B28</f>
        <v>0</v>
      </c>
      <c r="D37" s="5">
        <f>J48-H48+J50-H50+J52-H52+J55-H55</f>
        <v>0</v>
      </c>
    </row>
    <row r="38" spans="1:4" ht="15" hidden="1">
      <c r="A38" s="6">
        <f>D16</f>
        <v>1.0005</v>
      </c>
      <c r="B38" s="5" t="str">
        <f>Spielernamen_Einstellungen!I48</f>
        <v>Frei_5 - Frei_25</v>
      </c>
      <c r="C38" s="5">
        <f>B22+B24+B26+A28</f>
        <v>0</v>
      </c>
      <c r="D38" s="5">
        <f>J49-H49+J51-H51+J53-H53+H55-J55</f>
        <v>0</v>
      </c>
    </row>
    <row r="39" ht="15" hidden="1">
      <c r="A39" t="s">
        <v>21</v>
      </c>
    </row>
    <row r="40" ht="15.75" thickBot="1"/>
    <row r="41" spans="1:10" ht="24" thickBot="1">
      <c r="A41" s="119" t="s">
        <v>139</v>
      </c>
      <c r="B41" s="120"/>
      <c r="C41" s="120"/>
      <c r="D41" s="120"/>
      <c r="E41" s="120"/>
      <c r="F41" s="120"/>
      <c r="G41" s="120"/>
      <c r="H41" s="120"/>
      <c r="I41" s="120"/>
      <c r="J41" s="121"/>
    </row>
    <row r="44" spans="1:10" ht="23.25">
      <c r="A44" s="21" t="s">
        <v>4</v>
      </c>
      <c r="B44" s="20"/>
      <c r="C44" s="20"/>
      <c r="D44" s="20"/>
      <c r="E44" s="20"/>
      <c r="F44" s="20"/>
      <c r="G44" s="20"/>
      <c r="H44" s="20"/>
      <c r="I44" s="20"/>
      <c r="J44" s="20"/>
    </row>
    <row r="46" spans="1:10" ht="15">
      <c r="A46" s="11" t="s">
        <v>24</v>
      </c>
      <c r="B46" s="11" t="s">
        <v>22</v>
      </c>
      <c r="C46" s="11" t="s">
        <v>6</v>
      </c>
      <c r="D46" s="11" t="s">
        <v>9</v>
      </c>
      <c r="F46" s="11" t="s">
        <v>26</v>
      </c>
      <c r="G46" s="10" t="s">
        <v>25</v>
      </c>
      <c r="H46" s="15" t="s">
        <v>7</v>
      </c>
      <c r="I46" s="16"/>
      <c r="J46" s="17"/>
    </row>
    <row r="47" spans="1:10" ht="15">
      <c r="A47" s="9">
        <f>IF(ROW($A$1)&gt;COUNT(D12:D16),"",SMALL(D12:D16,ROW($A$1)))</f>
        <v>1.0001</v>
      </c>
      <c r="B47" s="12" t="str">
        <f>IF($A47="","",INDEX(B34:B38,MATCH($A47,$A34:A38,0)))</f>
        <v>Frei_1 - Frei_21</v>
      </c>
      <c r="C47" s="13">
        <f>VLOOKUP(B47,B34:D38,2,FALSE)</f>
        <v>0</v>
      </c>
      <c r="D47" s="13">
        <f>VLOOKUP(B47,B34:D38,3,FALSE)</f>
        <v>0</v>
      </c>
      <c r="F47" s="8">
        <v>1</v>
      </c>
      <c r="G47" s="12" t="str">
        <f>CONCATENATE(B34," &lt;&lt;&lt;vs.&gt;&gt;&gt; ",B35)</f>
        <v>Frei_1 - Frei_21 &lt;&lt;&lt;vs.&gt;&gt;&gt; Frei_2 - Frei_22</v>
      </c>
      <c r="H47" s="18"/>
      <c r="I47" s="14" t="s">
        <v>8</v>
      </c>
      <c r="J47" s="19"/>
    </row>
    <row r="48" spans="1:10" ht="15">
      <c r="A48" s="9">
        <f>IF(ROW($A$2)&gt;COUNT(D12:D16),"",SMALL(D12:D16,ROW($A$2)))</f>
        <v>1.0002</v>
      </c>
      <c r="B48" s="12" t="str">
        <f>IF($A48="","",INDEX(B34:B38,MATCH($A48,$A34:A38,0)))</f>
        <v>Frei_2 - Frei_22</v>
      </c>
      <c r="C48" s="13">
        <f>VLOOKUP(B48,B34:D38,2,FALSE)</f>
        <v>0</v>
      </c>
      <c r="D48" s="13">
        <f>VLOOKUP(B48,B34:D38,3,FALSE)</f>
        <v>0</v>
      </c>
      <c r="F48" s="8">
        <v>2</v>
      </c>
      <c r="G48" s="12" t="str">
        <f>CONCATENATE(B36," &lt;&lt;&lt;vs.&gt;&gt;&gt; ",B37)</f>
        <v>Frei_3 - Frei_23 &lt;&lt;&lt;vs.&gt;&gt;&gt; Frei_4 - Frei_24</v>
      </c>
      <c r="H48" s="18"/>
      <c r="I48" s="14" t="s">
        <v>8</v>
      </c>
      <c r="J48" s="19"/>
    </row>
    <row r="49" spans="1:10" ht="15">
      <c r="A49" s="9">
        <f>IF(ROW($A$3)&gt;COUNT(D12:D16),"",SMALL(D12:D16,ROW($A$3)))</f>
        <v>1.0003</v>
      </c>
      <c r="B49" s="12" t="str">
        <f>IF($A49="","",INDEX(B34:B38,MATCH($A49,$A34:A38,0)))</f>
        <v>Frei_3 - Frei_23</v>
      </c>
      <c r="C49" s="13">
        <f>VLOOKUP(B49,B34:D38,2,FALSE)</f>
        <v>0</v>
      </c>
      <c r="D49" s="13">
        <f>VLOOKUP(B49,B34:D38,3,FALSE)</f>
        <v>0</v>
      </c>
      <c r="F49" s="8">
        <v>3</v>
      </c>
      <c r="G49" s="12" t="str">
        <f>CONCATENATE(B34," &lt;&lt;&lt;vs.&gt;&gt;&gt; ",B38)</f>
        <v>Frei_1 - Frei_21 &lt;&lt;&lt;vs.&gt;&gt;&gt; Frei_5 - Frei_25</v>
      </c>
      <c r="H49" s="18"/>
      <c r="I49" s="14" t="s">
        <v>8</v>
      </c>
      <c r="J49" s="19"/>
    </row>
    <row r="50" spans="1:10" ht="15">
      <c r="A50" s="9">
        <f>IF(ROW($A$4)&gt;COUNT(D12:D16),"",SMALL(D12:D16,ROW($A$4)))</f>
        <v>1.0004</v>
      </c>
      <c r="B50" s="12" t="str">
        <f>IF($A50="","",INDEX(B34:B38,MATCH($A50,$A34:A38,0)))</f>
        <v>Frei_4 - Frei_24</v>
      </c>
      <c r="C50" s="13">
        <f>VLOOKUP(B50,B34:D38,2,FALSE)</f>
        <v>0</v>
      </c>
      <c r="D50" s="13">
        <f>VLOOKUP(B50,B34:D38,3,FALSE)</f>
        <v>0</v>
      </c>
      <c r="F50" s="8">
        <v>4</v>
      </c>
      <c r="G50" s="12" t="str">
        <f>CONCATENATE(B35," &lt;&lt;&lt;vs.&gt;&gt;&gt; ",B37)</f>
        <v>Frei_2 - Frei_22 &lt;&lt;&lt;vs.&gt;&gt;&gt; Frei_4 - Frei_24</v>
      </c>
      <c r="H50" s="18"/>
      <c r="I50" s="14" t="s">
        <v>8</v>
      </c>
      <c r="J50" s="19"/>
    </row>
    <row r="51" spans="1:10" ht="15">
      <c r="A51" s="9">
        <f>IF(ROW($A$5)&gt;COUNT(D12:D16),"",SMALL(D12:D16,ROW($A$5)))</f>
        <v>1.0005</v>
      </c>
      <c r="B51" s="12" t="str">
        <f>IF($A51="","",INDEX(B34:B38,MATCH($A51,$A34:A38,0)))</f>
        <v>Frei_5 - Frei_25</v>
      </c>
      <c r="C51" s="13">
        <f>VLOOKUP(B51,B34:D38,2,FALSE)</f>
        <v>0</v>
      </c>
      <c r="D51" s="13">
        <f>VLOOKUP(B51,B34:D38,3,FALSE)</f>
        <v>0</v>
      </c>
      <c r="F51" s="8">
        <v>5</v>
      </c>
      <c r="G51" s="12" t="str">
        <f>CONCATENATE(B36," &lt;&lt;&lt;vs.&gt;&gt;&gt; ",B38)</f>
        <v>Frei_3 - Frei_23 &lt;&lt;&lt;vs.&gt;&gt;&gt; Frei_5 - Frei_25</v>
      </c>
      <c r="H51" s="18"/>
      <c r="I51" s="14" t="s">
        <v>8</v>
      </c>
      <c r="J51" s="19"/>
    </row>
    <row r="52" spans="6:10" ht="15">
      <c r="F52" s="8">
        <v>6</v>
      </c>
      <c r="G52" s="12" t="str">
        <f>CONCATENATE(B34," &lt;&lt;&lt;vs.&gt;&gt;&gt; ",B37)</f>
        <v>Frei_1 - Frei_21 &lt;&lt;&lt;vs.&gt;&gt;&gt; Frei_4 - Frei_24</v>
      </c>
      <c r="H52" s="18"/>
      <c r="I52" s="14" t="s">
        <v>8</v>
      </c>
      <c r="J52" s="19"/>
    </row>
    <row r="53" spans="6:10" ht="15">
      <c r="F53" s="8">
        <v>7</v>
      </c>
      <c r="G53" s="12" t="str">
        <f>CONCATENATE(B35," &lt;&lt;&lt;vs.&gt;&gt;&gt; ",B38)</f>
        <v>Frei_2 - Frei_22 &lt;&lt;&lt;vs.&gt;&gt;&gt; Frei_5 - Frei_25</v>
      </c>
      <c r="H53" s="18"/>
      <c r="I53" s="14" t="s">
        <v>8</v>
      </c>
      <c r="J53" s="19"/>
    </row>
    <row r="54" spans="6:10" ht="15">
      <c r="F54" s="8">
        <v>8</v>
      </c>
      <c r="G54" s="12" t="str">
        <f>CONCATENATE(B36," &lt;&lt;&lt;vs.&gt;&gt;&gt; ",B34)</f>
        <v>Frei_3 - Frei_23 &lt;&lt;&lt;vs.&gt;&gt;&gt; Frei_1 - Frei_21</v>
      </c>
      <c r="H54" s="18"/>
      <c r="I54" s="14" t="s">
        <v>8</v>
      </c>
      <c r="J54" s="19"/>
    </row>
    <row r="55" spans="6:10" ht="15">
      <c r="F55" s="8">
        <v>9</v>
      </c>
      <c r="G55" s="12" t="str">
        <f>CONCATENATE(B38," &lt;&lt;&lt;vs.&gt;&gt;&gt; ",B37)</f>
        <v>Frei_5 - Frei_25 &lt;&lt;&lt;vs.&gt;&gt;&gt; Frei_4 - Frei_24</v>
      </c>
      <c r="H55" s="18"/>
      <c r="I55" s="14" t="s">
        <v>8</v>
      </c>
      <c r="J55" s="19"/>
    </row>
    <row r="56" spans="6:10" ht="15">
      <c r="F56" s="8">
        <v>10</v>
      </c>
      <c r="G56" s="12" t="str">
        <f>CONCATENATE(B35," &lt;&lt;&lt;vs.&gt;&gt;&gt; ",B36)</f>
        <v>Frei_2 - Frei_22 &lt;&lt;&lt;vs.&gt;&gt;&gt; Frei_3 - Frei_23</v>
      </c>
      <c r="H56" s="18"/>
      <c r="I56" s="14" t="s">
        <v>8</v>
      </c>
      <c r="J56" s="19"/>
    </row>
    <row r="59" ht="15" hidden="1"/>
    <row r="60" ht="15" hidden="1"/>
    <row r="61" ht="15" hidden="1">
      <c r="A61" t="s">
        <v>20</v>
      </c>
    </row>
    <row r="62" spans="1:3" ht="15" hidden="1">
      <c r="A62" t="s">
        <v>102</v>
      </c>
      <c r="C62" t="s">
        <v>103</v>
      </c>
    </row>
    <row r="63" spans="1:4" ht="15" hidden="1">
      <c r="A63" s="4" t="s">
        <v>16</v>
      </c>
      <c r="B63" s="4" t="s">
        <v>17</v>
      </c>
      <c r="C63" s="4" t="s">
        <v>18</v>
      </c>
      <c r="D63" s="4" t="s">
        <v>19</v>
      </c>
    </row>
    <row r="64" spans="1:4" ht="15" hidden="1">
      <c r="A64" s="4">
        <f>RANK(C86,C86:C90,0)</f>
        <v>1</v>
      </c>
      <c r="B64" s="4">
        <f>RANK(D86,D86:D90,0)</f>
        <v>1</v>
      </c>
      <c r="C64" s="4">
        <f>A64+(B64/10)</f>
        <v>1.1</v>
      </c>
      <c r="D64" s="7">
        <f>IF(C64="","",RANK(C64,C64:C68,1)+ROW($A$1)%%)</f>
        <v>1.0001</v>
      </c>
    </row>
    <row r="65" spans="1:4" ht="15" hidden="1">
      <c r="A65" s="4">
        <f>RANK(C87,C86:C90,0)</f>
        <v>1</v>
      </c>
      <c r="B65" s="4">
        <f>RANK(D87,D86:D90,0)</f>
        <v>1</v>
      </c>
      <c r="C65" s="4">
        <f>A65+(B65/10)</f>
        <v>1.1</v>
      </c>
      <c r="D65" s="7">
        <f>IF(C65="","",RANK(C65,C64:C68,1)+ROW($A$2)%%)</f>
        <v>1.0002</v>
      </c>
    </row>
    <row r="66" spans="1:4" ht="15" hidden="1">
      <c r="A66" s="4">
        <f>RANK(C88,C86:C90,0)</f>
        <v>1</v>
      </c>
      <c r="B66" s="4">
        <f>RANK(D88,D86:D90,0)</f>
        <v>1</v>
      </c>
      <c r="C66" s="4">
        <f>A66+(B66/10)</f>
        <v>1.1</v>
      </c>
      <c r="D66" s="7">
        <f>IF(C66="","",RANK(C66,C64:C68,1)+ROW($A$3)%%)</f>
        <v>1.0003</v>
      </c>
    </row>
    <row r="67" spans="1:4" ht="15" hidden="1">
      <c r="A67" s="4">
        <f>RANK(C89,C86:C90,0)</f>
        <v>1</v>
      </c>
      <c r="B67" s="4">
        <f>RANK(D89,D86:D90,0)</f>
        <v>1</v>
      </c>
      <c r="C67" s="4">
        <f>A67+(B67/10)</f>
        <v>1.1</v>
      </c>
      <c r="D67" s="7">
        <f>IF(C67="","",RANK(C67,C64:C68,1)+ROW($A$4)%%)</f>
        <v>1.0004</v>
      </c>
    </row>
    <row r="68" spans="1:4" ht="15" hidden="1">
      <c r="A68" s="4">
        <f>RANK(C90,C86:C90,0)</f>
        <v>1</v>
      </c>
      <c r="B68" s="4">
        <f>RANK(D90,D86:D90,0)</f>
        <v>1</v>
      </c>
      <c r="C68" s="4">
        <f>A68+(B68/10)</f>
        <v>1.1</v>
      </c>
      <c r="D68" s="7">
        <f>IF(C68="","",RANK(C68,C64:C68,1)+ROW($A$5)%%)</f>
        <v>1.0005</v>
      </c>
    </row>
    <row r="69" ht="15" hidden="1"/>
    <row r="70" ht="15" hidden="1"/>
    <row r="71" spans="1:3" ht="15" hidden="1">
      <c r="A71" s="3" t="s">
        <v>23</v>
      </c>
      <c r="B71" s="3"/>
      <c r="C71" t="s">
        <v>26</v>
      </c>
    </row>
    <row r="72" spans="1:3" ht="15" hidden="1">
      <c r="A72" s="3">
        <f>IF(H98&gt;J98,Spielernamen_Einstellungen!$B$23,0)</f>
        <v>0</v>
      </c>
      <c r="B72" s="3">
        <f>IF(J98&gt;H98,Spielernamen_Einstellungen!$B$23,0)</f>
        <v>0</v>
      </c>
      <c r="C72">
        <v>1</v>
      </c>
    </row>
    <row r="73" spans="1:3" ht="15" hidden="1">
      <c r="A73" s="3">
        <f>IF(H99&gt;J99,Spielernamen_Einstellungen!$B$23,0)</f>
        <v>0</v>
      </c>
      <c r="B73" s="3">
        <f>IF(J99&gt;H99,Spielernamen_Einstellungen!$B$23,0)</f>
        <v>0</v>
      </c>
      <c r="C73">
        <v>2</v>
      </c>
    </row>
    <row r="74" spans="1:3" ht="15" hidden="1">
      <c r="A74" s="3">
        <f>IF(H100&gt;J100,Spielernamen_Einstellungen!$B$23,0)</f>
        <v>0</v>
      </c>
      <c r="B74" s="3">
        <f>IF(J100&gt;H100,Spielernamen_Einstellungen!$B$23,0)</f>
        <v>0</v>
      </c>
      <c r="C74">
        <v>3</v>
      </c>
    </row>
    <row r="75" spans="1:3" ht="15" hidden="1">
      <c r="A75" s="3">
        <f>IF(H101&gt;J101,Spielernamen_Einstellungen!$B$23,0)</f>
        <v>0</v>
      </c>
      <c r="B75" s="3">
        <f>IF(J101&gt;H101,Spielernamen_Einstellungen!$B$23,0)</f>
        <v>0</v>
      </c>
      <c r="C75">
        <v>4</v>
      </c>
    </row>
    <row r="76" spans="1:3" ht="15" hidden="1">
      <c r="A76" s="3">
        <f>IF(H102&gt;J102,Spielernamen_Einstellungen!$B$23,0)</f>
        <v>0</v>
      </c>
      <c r="B76" s="3">
        <f>IF(J102&gt;H102,Spielernamen_Einstellungen!$B$23,0)</f>
        <v>0</v>
      </c>
      <c r="C76">
        <v>5</v>
      </c>
    </row>
    <row r="77" spans="1:3" ht="15" hidden="1">
      <c r="A77" s="3">
        <f>IF(H103&gt;J103,Spielernamen_Einstellungen!$B$23,0)</f>
        <v>0</v>
      </c>
      <c r="B77" s="3">
        <f>IF(J103&gt;H103,Spielernamen_Einstellungen!$B$23,0)</f>
        <v>0</v>
      </c>
      <c r="C77">
        <v>6</v>
      </c>
    </row>
    <row r="78" spans="1:3" ht="15" hidden="1">
      <c r="A78" s="3">
        <f>IF(H104&gt;J104,Spielernamen_Einstellungen!$B$23,0)</f>
        <v>0</v>
      </c>
      <c r="B78" s="3">
        <f>IF(J104&gt;H104,Spielernamen_Einstellungen!$B$23,0)</f>
        <v>0</v>
      </c>
      <c r="C78">
        <v>7</v>
      </c>
    </row>
    <row r="79" spans="1:3" ht="15" hidden="1">
      <c r="A79" s="3">
        <f>IF(H105&gt;J105,Spielernamen_Einstellungen!$B$23,0)</f>
        <v>0</v>
      </c>
      <c r="B79" s="3">
        <f>IF(J105&gt;H105,Spielernamen_Einstellungen!$B$23,0)</f>
        <v>0</v>
      </c>
      <c r="C79">
        <v>8</v>
      </c>
    </row>
    <row r="80" spans="1:3" ht="15" hidden="1">
      <c r="A80" s="3">
        <f>IF(H106&gt;J106,Spielernamen_Einstellungen!$B$23,0)</f>
        <v>0</v>
      </c>
      <c r="B80" s="3">
        <f>IF(J106&gt;H106,Spielernamen_Einstellungen!$B$23,0)</f>
        <v>0</v>
      </c>
      <c r="C80">
        <v>9</v>
      </c>
    </row>
    <row r="81" spans="1:3" ht="15" hidden="1">
      <c r="A81" s="3">
        <f>IF(H107&gt;J107,Spielernamen_Einstellungen!$B$23,0)</f>
        <v>0</v>
      </c>
      <c r="B81" s="3">
        <f>IF(J107&gt;H107,Spielernamen_Einstellungen!$B$23,0)</f>
        <v>0</v>
      </c>
      <c r="C81">
        <v>10</v>
      </c>
    </row>
    <row r="82" ht="15" hidden="1"/>
    <row r="83" ht="15" hidden="1"/>
    <row r="84" spans="1:4" ht="15" hidden="1">
      <c r="A84" s="5"/>
      <c r="B84" s="22" t="s">
        <v>27</v>
      </c>
      <c r="C84" s="5"/>
      <c r="D84" s="5"/>
    </row>
    <row r="85" spans="1:4" ht="15" hidden="1">
      <c r="A85" s="5" t="s">
        <v>15</v>
      </c>
      <c r="B85" s="5"/>
      <c r="C85" s="5" t="s">
        <v>6</v>
      </c>
      <c r="D85" s="5" t="s">
        <v>9</v>
      </c>
    </row>
    <row r="86" spans="1:4" ht="15" hidden="1">
      <c r="A86" s="6">
        <f>D64</f>
        <v>1.0001</v>
      </c>
      <c r="B86" s="5" t="str">
        <f>Spielernamen_Einstellungen!J44</f>
        <v>Frei_6 - Frei_26</v>
      </c>
      <c r="C86" s="6">
        <f>A72+A74+A77+B79</f>
        <v>0</v>
      </c>
      <c r="D86" s="5">
        <f>H98+H100+H103-J98-J100-J103+J105-H105</f>
        <v>0</v>
      </c>
    </row>
    <row r="87" spans="1:4" ht="15" hidden="1">
      <c r="A87" s="6">
        <f>D65</f>
        <v>1.0002</v>
      </c>
      <c r="B87" s="5" t="str">
        <f>Spielernamen_Einstellungen!J45</f>
        <v>Frei_7 - Frei_27</v>
      </c>
      <c r="C87" s="5">
        <f>B72+A75+A78+A81</f>
        <v>0</v>
      </c>
      <c r="D87" s="5">
        <f>J98-H98+H101-J101+H104-J104+H107-J107</f>
        <v>0</v>
      </c>
    </row>
    <row r="88" spans="1:4" ht="15" hidden="1">
      <c r="A88" s="6">
        <f>D66</f>
        <v>1.0003</v>
      </c>
      <c r="B88" s="5" t="str">
        <f>Spielernamen_Einstellungen!J46</f>
        <v>Frei_8 - Frei_28</v>
      </c>
      <c r="C88" s="5">
        <f>A73+A76+A79+B81</f>
        <v>0</v>
      </c>
      <c r="D88" s="5">
        <f>H99-J99+H102-J102+H105-J105+J107-H107</f>
        <v>0</v>
      </c>
    </row>
    <row r="89" spans="1:4" ht="15" hidden="1">
      <c r="A89" s="6">
        <f>D67</f>
        <v>1.0004</v>
      </c>
      <c r="B89" s="5" t="str">
        <f>Spielernamen_Einstellungen!J47</f>
        <v>Frei_9 - Frei_29</v>
      </c>
      <c r="C89" s="5">
        <f>B73+B75+B77+B80</f>
        <v>0</v>
      </c>
      <c r="D89" s="5">
        <f>J99-H99+J101-H101+J103-H103+J106-H106</f>
        <v>0</v>
      </c>
    </row>
    <row r="90" spans="1:4" ht="15" hidden="1">
      <c r="A90" s="6">
        <f>D68</f>
        <v>1.0005</v>
      </c>
      <c r="B90" s="5" t="str">
        <f>Spielernamen_Einstellungen!J48</f>
        <v>Frei_10 - Frei_30</v>
      </c>
      <c r="C90" s="5">
        <f>B74+B76+B78+A80</f>
        <v>0</v>
      </c>
      <c r="D90" s="5">
        <f>J100-H100+J102-H102+J104-H104+H106-J106</f>
        <v>0</v>
      </c>
    </row>
    <row r="91" ht="15" hidden="1">
      <c r="A91" t="s">
        <v>21</v>
      </c>
    </row>
    <row r="92" ht="15" hidden="1"/>
    <row r="95" spans="1:10" ht="23.25">
      <c r="A95" s="21" t="s">
        <v>5</v>
      </c>
      <c r="B95" s="20"/>
      <c r="C95" s="20"/>
      <c r="D95" s="20"/>
      <c r="E95" s="20"/>
      <c r="F95" s="20"/>
      <c r="G95" s="20"/>
      <c r="H95" s="20"/>
      <c r="I95" s="20"/>
      <c r="J95" s="20"/>
    </row>
    <row r="97" spans="1:10" ht="15">
      <c r="A97" s="11" t="s">
        <v>24</v>
      </c>
      <c r="B97" s="11" t="s">
        <v>22</v>
      </c>
      <c r="C97" s="11" t="s">
        <v>6</v>
      </c>
      <c r="D97" s="11" t="s">
        <v>9</v>
      </c>
      <c r="F97" s="11" t="s">
        <v>26</v>
      </c>
      <c r="G97" s="10" t="s">
        <v>25</v>
      </c>
      <c r="H97" s="15" t="s">
        <v>7</v>
      </c>
      <c r="I97" s="16"/>
      <c r="J97" s="17"/>
    </row>
    <row r="98" spans="1:10" ht="15">
      <c r="A98" s="9">
        <f>IF(ROW($A$1)&gt;COUNT(D64:D68),"",SMALL(D64:D68,ROW($A$1)))</f>
        <v>1.0001</v>
      </c>
      <c r="B98" s="12" t="str">
        <f>IF($A98="","",INDEX(B86:B90,MATCH($A98,$A86:A90,0)))</f>
        <v>Frei_6 - Frei_26</v>
      </c>
      <c r="C98" s="13">
        <f>VLOOKUP(B98,B86:D90,2,FALSE)</f>
        <v>0</v>
      </c>
      <c r="D98" s="13">
        <f>VLOOKUP(B98,B86:D90,3,FALSE)</f>
        <v>0</v>
      </c>
      <c r="F98" s="8">
        <v>1</v>
      </c>
      <c r="G98" s="12" t="str">
        <f>CONCATENATE(B86," &lt;&lt;&lt;vs.&gt;&gt;&gt; ",B87)</f>
        <v>Frei_6 - Frei_26 &lt;&lt;&lt;vs.&gt;&gt;&gt; Frei_7 - Frei_27</v>
      </c>
      <c r="H98" s="18"/>
      <c r="I98" s="14" t="s">
        <v>8</v>
      </c>
      <c r="J98" s="19"/>
    </row>
    <row r="99" spans="1:10" ht="15">
      <c r="A99" s="9">
        <f>IF(ROW($A$2)&gt;COUNT(D64:D68),"",SMALL(D64:D68,ROW($A$2)))</f>
        <v>1.0002</v>
      </c>
      <c r="B99" s="12" t="str">
        <f>IF($A99="","",INDEX(B86:B90,MATCH($A99,$A86:A90,0)))</f>
        <v>Frei_7 - Frei_27</v>
      </c>
      <c r="C99" s="13">
        <f>VLOOKUP(B99,B86:D90,2,FALSE)</f>
        <v>0</v>
      </c>
      <c r="D99" s="13">
        <f>VLOOKUP(B99,B86:D90,3,FALSE)</f>
        <v>0</v>
      </c>
      <c r="F99" s="8">
        <v>2</v>
      </c>
      <c r="G99" s="12" t="str">
        <f>CONCATENATE(B88," &lt;&lt;&lt;vs.&gt;&gt;&gt; ",B89)</f>
        <v>Frei_8 - Frei_28 &lt;&lt;&lt;vs.&gt;&gt;&gt; Frei_9 - Frei_29</v>
      </c>
      <c r="H99" s="18"/>
      <c r="I99" s="14" t="s">
        <v>8</v>
      </c>
      <c r="J99" s="19"/>
    </row>
    <row r="100" spans="1:10" ht="15">
      <c r="A100" s="9">
        <f>IF(ROW($A$3)&gt;COUNT(D64:D68),"",SMALL(D64:D68,ROW($A$3)))</f>
        <v>1.0003</v>
      </c>
      <c r="B100" s="12" t="str">
        <f>IF($A100="","",INDEX(B86:B90,MATCH($A100,$A86:A90,0)))</f>
        <v>Frei_8 - Frei_28</v>
      </c>
      <c r="C100" s="13">
        <f>VLOOKUP(B100,B86:D90,2,FALSE)</f>
        <v>0</v>
      </c>
      <c r="D100" s="13">
        <f>VLOOKUP(B100,B86:D90,3,FALSE)</f>
        <v>0</v>
      </c>
      <c r="F100" s="8">
        <v>3</v>
      </c>
      <c r="G100" s="12" t="str">
        <f>CONCATENATE(B86," &lt;&lt;&lt;vs.&gt;&gt;&gt; ",B90)</f>
        <v>Frei_6 - Frei_26 &lt;&lt;&lt;vs.&gt;&gt;&gt; Frei_10 - Frei_30</v>
      </c>
      <c r="H100" s="18"/>
      <c r="I100" s="14" t="s">
        <v>8</v>
      </c>
      <c r="J100" s="19"/>
    </row>
    <row r="101" spans="1:10" ht="15">
      <c r="A101" s="9">
        <f>IF(ROW($A$4)&gt;COUNT(D64:D68),"",SMALL(D64:D68,ROW($A$4)))</f>
        <v>1.0004</v>
      </c>
      <c r="B101" s="12" t="str">
        <f>IF($A101="","",INDEX(B86:B90,MATCH($A101,$A86:A90,0)))</f>
        <v>Frei_9 - Frei_29</v>
      </c>
      <c r="C101" s="13">
        <f>VLOOKUP(B101,B86:D90,2,FALSE)</f>
        <v>0</v>
      </c>
      <c r="D101" s="13">
        <f>VLOOKUP(B101,B86:D90,3,FALSE)</f>
        <v>0</v>
      </c>
      <c r="F101" s="8">
        <v>4</v>
      </c>
      <c r="G101" s="12" t="str">
        <f>CONCATENATE(B87," &lt;&lt;&lt;vs.&gt;&gt;&gt; ",B89)</f>
        <v>Frei_7 - Frei_27 &lt;&lt;&lt;vs.&gt;&gt;&gt; Frei_9 - Frei_29</v>
      </c>
      <c r="H101" s="18"/>
      <c r="I101" s="14" t="s">
        <v>8</v>
      </c>
      <c r="J101" s="19"/>
    </row>
    <row r="102" spans="1:10" ht="15">
      <c r="A102" s="9">
        <f>IF(ROW($A$5)&gt;COUNT(D64:D68),"",SMALL(D64:D68,ROW($A$5)))</f>
        <v>1.0005</v>
      </c>
      <c r="B102" s="12" t="str">
        <f>IF($A102="","",INDEX(B86:B90,MATCH($A102,$A86:A90,0)))</f>
        <v>Frei_10 - Frei_30</v>
      </c>
      <c r="C102" s="13">
        <f>VLOOKUP(B102,B86:D90,2,FALSE)</f>
        <v>0</v>
      </c>
      <c r="D102" s="13">
        <f>VLOOKUP(B102,B86:D90,3,FALSE)</f>
        <v>0</v>
      </c>
      <c r="F102" s="8">
        <v>5</v>
      </c>
      <c r="G102" s="12" t="str">
        <f>CONCATENATE(B88," &lt;&lt;&lt;vs.&gt;&gt;&gt; ",B90)</f>
        <v>Frei_8 - Frei_28 &lt;&lt;&lt;vs.&gt;&gt;&gt; Frei_10 - Frei_30</v>
      </c>
      <c r="H102" s="18"/>
      <c r="I102" s="14" t="s">
        <v>8</v>
      </c>
      <c r="J102" s="19"/>
    </row>
    <row r="103" spans="6:10" ht="15">
      <c r="F103" s="8">
        <v>6</v>
      </c>
      <c r="G103" s="12" t="str">
        <f>CONCATENATE(B86," &lt;&lt;&lt;vs.&gt;&gt;&gt; ",B89)</f>
        <v>Frei_6 - Frei_26 &lt;&lt;&lt;vs.&gt;&gt;&gt; Frei_9 - Frei_29</v>
      </c>
      <c r="H103" s="18"/>
      <c r="I103" s="14" t="s">
        <v>8</v>
      </c>
      <c r="J103" s="19"/>
    </row>
    <row r="104" spans="6:10" ht="15">
      <c r="F104" s="8">
        <v>7</v>
      </c>
      <c r="G104" s="12" t="str">
        <f>CONCATENATE(B87," &lt;&lt;&lt;vs.&gt;&gt;&gt; ",B90)</f>
        <v>Frei_7 - Frei_27 &lt;&lt;&lt;vs.&gt;&gt;&gt; Frei_10 - Frei_30</v>
      </c>
      <c r="H104" s="18"/>
      <c r="I104" s="14" t="s">
        <v>8</v>
      </c>
      <c r="J104" s="19"/>
    </row>
    <row r="105" spans="6:10" ht="15">
      <c r="F105" s="8">
        <v>8</v>
      </c>
      <c r="G105" s="12" t="str">
        <f>CONCATENATE(B88," &lt;&lt;&lt;vs.&gt;&gt;&gt; ",B86)</f>
        <v>Frei_8 - Frei_28 &lt;&lt;&lt;vs.&gt;&gt;&gt; Frei_6 - Frei_26</v>
      </c>
      <c r="H105" s="18"/>
      <c r="I105" s="14" t="s">
        <v>8</v>
      </c>
      <c r="J105" s="19"/>
    </row>
    <row r="106" spans="6:10" ht="15">
      <c r="F106" s="8">
        <v>9</v>
      </c>
      <c r="G106" s="12" t="str">
        <f>CONCATENATE(B90," &lt;&lt;&lt;vs.&gt;&gt;&gt; ",B89)</f>
        <v>Frei_10 - Frei_30 &lt;&lt;&lt;vs.&gt;&gt;&gt; Frei_9 - Frei_29</v>
      </c>
      <c r="H106" s="18"/>
      <c r="I106" s="14" t="s">
        <v>8</v>
      </c>
      <c r="J106" s="19"/>
    </row>
    <row r="107" spans="6:10" ht="15">
      <c r="F107" s="8">
        <v>10</v>
      </c>
      <c r="G107" s="12" t="str">
        <f>CONCATENATE(B87," &lt;&lt;&lt;vs.&gt;&gt;&gt; ",B88)</f>
        <v>Frei_7 - Frei_27 &lt;&lt;&lt;vs.&gt;&gt;&gt; Frei_8 - Frei_28</v>
      </c>
      <c r="H107" s="18"/>
      <c r="I107" s="14" t="s">
        <v>8</v>
      </c>
      <c r="J107" s="19"/>
    </row>
    <row r="108" ht="15" hidden="1"/>
    <row r="109" ht="15" hidden="1"/>
    <row r="110" ht="15" hidden="1"/>
    <row r="111" ht="15" hidden="1"/>
    <row r="112" ht="15" hidden="1"/>
    <row r="113" ht="15" hidden="1"/>
    <row r="115" ht="15.75" thickBot="1"/>
    <row r="116" spans="1:10" ht="24" thickBot="1">
      <c r="A116" s="56" t="s">
        <v>104</v>
      </c>
      <c r="B116" s="57"/>
      <c r="C116" s="57"/>
      <c r="D116" s="57"/>
      <c r="E116" s="57"/>
      <c r="F116" s="57"/>
      <c r="G116" s="57"/>
      <c r="H116" s="57"/>
      <c r="I116" s="57"/>
      <c r="J116" s="58"/>
    </row>
    <row r="118" ht="15" hidden="1"/>
    <row r="119" ht="15" hidden="1">
      <c r="A119" t="s">
        <v>129</v>
      </c>
    </row>
    <row r="120" ht="15" hidden="1">
      <c r="A120" t="s">
        <v>131</v>
      </c>
    </row>
    <row r="121" spans="1:3" ht="15" hidden="1">
      <c r="A121" t="s">
        <v>143</v>
      </c>
      <c r="C121" s="66">
        <f>ROUND(A48,0)</f>
        <v>1</v>
      </c>
    </row>
    <row r="122" spans="1:3" ht="15" hidden="1">
      <c r="A122" t="s">
        <v>144</v>
      </c>
      <c r="C122" s="66">
        <f>ROUND(A49,0)</f>
        <v>1</v>
      </c>
    </row>
    <row r="123" spans="1:3" ht="15" hidden="1">
      <c r="A123" t="s">
        <v>145</v>
      </c>
      <c r="C123" s="66">
        <f>ROUND(A99,0)</f>
        <v>1</v>
      </c>
    </row>
    <row r="124" spans="1:3" ht="15" hidden="1">
      <c r="A124" t="s">
        <v>146</v>
      </c>
      <c r="C124" s="66">
        <f>ROUND(A100,0)</f>
        <v>1</v>
      </c>
    </row>
    <row r="125" ht="15" hidden="1"/>
    <row r="126" ht="15" hidden="1">
      <c r="A126" t="s">
        <v>130</v>
      </c>
    </row>
    <row r="127" ht="15" hidden="1"/>
    <row r="129" spans="1:2" ht="15">
      <c r="A129" s="11" t="s">
        <v>46</v>
      </c>
      <c r="B129" s="11" t="s">
        <v>105</v>
      </c>
    </row>
    <row r="130" spans="1:2" ht="15">
      <c r="A130" s="9">
        <v>1</v>
      </c>
      <c r="B130" s="12" t="str">
        <f>B47</f>
        <v>Frei_1 - Frei_21</v>
      </c>
    </row>
    <row r="131" spans="1:2" ht="15">
      <c r="A131" s="9">
        <v>2</v>
      </c>
      <c r="B131" s="12" t="str">
        <f>B98</f>
        <v>Frei_6 - Frei_26</v>
      </c>
    </row>
    <row r="132" spans="1:2" ht="15">
      <c r="A132" s="9">
        <v>3</v>
      </c>
      <c r="B132" s="12" t="str">
        <f>B48</f>
        <v>Frei_2 - Frei_22</v>
      </c>
    </row>
    <row r="133" spans="1:2" ht="15">
      <c r="A133" s="9">
        <v>4</v>
      </c>
      <c r="B133" s="12" t="str">
        <f>B99</f>
        <v>Frei_7 - Frei_27</v>
      </c>
    </row>
    <row r="136" ht="21" customHeight="1" thickBot="1">
      <c r="A136" s="61" t="s">
        <v>169</v>
      </c>
    </row>
    <row r="137" spans="1:2" ht="15">
      <c r="A137" s="122" t="str">
        <f>IF(C121=C122,"Achtung Team 4! 2. und 3. Platz Gruppe A sind gleich","")</f>
        <v>Achtung Team 4! 2. und 3. Platz Gruppe A sind gleich</v>
      </c>
      <c r="B137" s="123"/>
    </row>
    <row r="138" spans="1:2" ht="15.75" thickBot="1">
      <c r="A138" s="126" t="str">
        <f>IF(C123=C124,"Achtung Team 3! 2. und 3. Platz Gruppe B sind gleich","")</f>
        <v>Achtung Team 3! 2. und 3. Platz Gruppe B sind gleich</v>
      </c>
      <c r="B138" s="127"/>
    </row>
  </sheetData>
  <sheetProtection password="BEE8" sheet="1" selectLockedCells="1"/>
  <mergeCells count="3">
    <mergeCell ref="A41:J41"/>
    <mergeCell ref="A138:B138"/>
    <mergeCell ref="A137:B1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tabColor rgb="FF0070C0"/>
  </sheetPr>
  <dimension ref="B2:N27"/>
  <sheetViews>
    <sheetView showGridLines="0" zoomScalePageLayoutView="0" workbookViewId="0" topLeftCell="B1">
      <selection activeCell="E7" sqref="E7"/>
    </sheetView>
  </sheetViews>
  <sheetFormatPr defaultColWidth="11.421875" defaultRowHeight="15"/>
  <cols>
    <col min="2" max="2" width="13.7109375" style="0" bestFit="1" customWidth="1"/>
    <col min="3" max="3" width="40.421875" style="0" bestFit="1" customWidth="1"/>
    <col min="4" max="4" width="75.8515625" style="0" customWidth="1"/>
    <col min="5" max="5" width="3.28125" style="0" customWidth="1"/>
    <col min="6" max="6" width="2.00390625" style="0" customWidth="1"/>
    <col min="7" max="7" width="3.28125" style="0" customWidth="1"/>
    <col min="8" max="8" width="11.421875" style="0" customWidth="1"/>
    <col min="9" max="9" width="17.421875" style="0" hidden="1" customWidth="1"/>
    <col min="10" max="14" width="11.421875" style="0" hidden="1" customWidth="1"/>
    <col min="15" max="15" width="11.421875" style="0" customWidth="1"/>
  </cols>
  <sheetData>
    <row r="1" ht="15.75" thickBot="1"/>
    <row r="2" spans="2:13" ht="24" thickBot="1">
      <c r="B2" s="119" t="s">
        <v>140</v>
      </c>
      <c r="C2" s="120"/>
      <c r="D2" s="120"/>
      <c r="E2" s="120"/>
      <c r="F2" s="120"/>
      <c r="G2" s="121"/>
      <c r="M2" t="s">
        <v>53</v>
      </c>
    </row>
    <row r="4" spans="13:14" ht="15">
      <c r="M4" t="s">
        <v>54</v>
      </c>
      <c r="N4" t="s">
        <v>55</v>
      </c>
    </row>
    <row r="5" spans="2:14" ht="23.25">
      <c r="B5" s="21" t="s">
        <v>37</v>
      </c>
      <c r="C5" s="20"/>
      <c r="D5" s="21"/>
      <c r="E5" s="20"/>
      <c r="F5" s="21"/>
      <c r="G5" s="20"/>
      <c r="M5">
        <v>1</v>
      </c>
      <c r="N5">
        <f>J18</f>
      </c>
    </row>
    <row r="6" spans="2:14" ht="15">
      <c r="B6" s="11" t="s">
        <v>26</v>
      </c>
      <c r="C6" s="11"/>
      <c r="D6" s="10" t="s">
        <v>25</v>
      </c>
      <c r="E6" s="15" t="s">
        <v>7</v>
      </c>
      <c r="F6" s="16"/>
      <c r="G6" s="17"/>
      <c r="I6" t="s">
        <v>152</v>
      </c>
      <c r="J6" t="s">
        <v>41</v>
      </c>
      <c r="M6">
        <v>2</v>
      </c>
      <c r="N6">
        <f>I18</f>
      </c>
    </row>
    <row r="7" spans="2:14" ht="15">
      <c r="B7" s="8">
        <v>1</v>
      </c>
      <c r="C7" s="8" t="s">
        <v>32</v>
      </c>
      <c r="D7" s="12" t="str">
        <f>CONCATENATE(Vorrunde_1212!B47," &lt;&lt;&lt;vs.&gt;&gt;&gt; ",Vorrunde_1212!B99)</f>
        <v>Frei_1 - Frei_21 &lt;&lt;&lt;vs.&gt;&gt;&gt; Frei_7 - Frei_27</v>
      </c>
      <c r="E7" s="18"/>
      <c r="F7" s="14" t="s">
        <v>8</v>
      </c>
      <c r="G7" s="19"/>
      <c r="I7">
        <f>IF(E7=G7,"",IF(E7&gt;G7,Vorrunde_1212!B47,Vorrunde_1212!B99))</f>
      </c>
      <c r="J7" t="str">
        <f>IF(F7=H7,"",IF(F7&gt;H7,Vorrunde_1212!B47,Vorrunde_1212!B99))</f>
        <v>Frei_1 - Frei_21</v>
      </c>
      <c r="M7">
        <v>3</v>
      </c>
      <c r="N7">
        <f>I13</f>
      </c>
    </row>
    <row r="8" spans="2:14" ht="15">
      <c r="B8" s="8">
        <v>2</v>
      </c>
      <c r="C8" s="8" t="s">
        <v>151</v>
      </c>
      <c r="D8" s="12" t="str">
        <f>CONCATENATE(Vorrunde_1212!B98," &lt;&lt;&lt;vs.&gt;&gt;&gt; ",Vorrunde_1212!B48)</f>
        <v>Frei_6 - Frei_26 &lt;&lt;&lt;vs.&gt;&gt;&gt; Frei_2 - Frei_22</v>
      </c>
      <c r="E8" s="18"/>
      <c r="F8" s="14" t="s">
        <v>8</v>
      </c>
      <c r="G8" s="19"/>
      <c r="I8">
        <f>IF(E8=G8,"",IF(E8&gt;G8,Vorrunde_1212!B98,Vorrunde_1212!B48))</f>
      </c>
      <c r="J8" t="str">
        <f>IF(F8=H8,"",IF(F8&gt;H8,Vorrunde_1212!B98,Vorrunde_1212!B48))</f>
        <v>Frei_6 - Frei_26</v>
      </c>
      <c r="M8">
        <v>4</v>
      </c>
      <c r="N8">
        <f>J13</f>
      </c>
    </row>
    <row r="11" spans="2:7" ht="23.25">
      <c r="B11" s="21" t="s">
        <v>38</v>
      </c>
      <c r="C11" s="20"/>
      <c r="D11" s="21"/>
      <c r="E11" s="20"/>
      <c r="F11" s="21"/>
      <c r="G11" s="20"/>
    </row>
    <row r="12" spans="2:7" ht="15">
      <c r="B12" s="11" t="s">
        <v>26</v>
      </c>
      <c r="C12" s="11"/>
      <c r="D12" s="10" t="s">
        <v>25</v>
      </c>
      <c r="E12" s="15" t="s">
        <v>7</v>
      </c>
      <c r="F12" s="16"/>
      <c r="G12" s="17"/>
    </row>
    <row r="13" spans="2:10" ht="15">
      <c r="B13" s="8">
        <v>1</v>
      </c>
      <c r="C13" s="8" t="s">
        <v>44</v>
      </c>
      <c r="D13" s="12" t="str">
        <f>CONCATENATE(J7," &lt;&lt;&lt;vs.&gt;&gt;&gt; ",J8)</f>
        <v>Frei_1 - Frei_21 &lt;&lt;&lt;vs.&gt;&gt;&gt; Frei_6 - Frei_26</v>
      </c>
      <c r="E13" s="18"/>
      <c r="F13" s="14" t="s">
        <v>8</v>
      </c>
      <c r="G13" s="19"/>
      <c r="I13">
        <f>IF(E13=G13,"",IF(E13&gt;G13,J7,J8))</f>
      </c>
      <c r="J13">
        <f>IF(E13=G13,"",IF(E13&lt;G13,J7,J8))</f>
      </c>
    </row>
    <row r="16" spans="2:7" ht="23.25">
      <c r="B16" s="21" t="s">
        <v>39</v>
      </c>
      <c r="C16" s="20"/>
      <c r="D16" s="21"/>
      <c r="E16" s="20"/>
      <c r="F16" s="21"/>
      <c r="G16" s="20"/>
    </row>
    <row r="17" spans="2:7" ht="15">
      <c r="B17" s="11" t="s">
        <v>26</v>
      </c>
      <c r="C17" s="11"/>
      <c r="D17" s="10" t="s">
        <v>25</v>
      </c>
      <c r="E17" s="15" t="s">
        <v>7</v>
      </c>
      <c r="F17" s="16"/>
      <c r="G17" s="17"/>
    </row>
    <row r="18" spans="2:10" ht="15">
      <c r="B18" s="8">
        <v>1</v>
      </c>
      <c r="C18" s="8" t="s">
        <v>45</v>
      </c>
      <c r="D18" s="12" t="str">
        <f>CONCATENATE(I7," &lt;&lt;&lt;vs.&gt;&gt;&gt; ",I8)</f>
        <v> &lt;&lt;&lt;vs.&gt;&gt;&gt; </v>
      </c>
      <c r="E18" s="18"/>
      <c r="F18" s="14" t="s">
        <v>8</v>
      </c>
      <c r="G18" s="19"/>
      <c r="I18">
        <f>IF(E18=G18,"",IF(E18&gt;G18,I8,I7))</f>
      </c>
      <c r="J18">
        <f>IF(E18=G18,"",IF(E18&lt;G18,I8,I7))</f>
      </c>
    </row>
    <row r="22" spans="2:7" ht="26.25">
      <c r="B22" s="128" t="s">
        <v>59</v>
      </c>
      <c r="C22" s="128"/>
      <c r="D22" s="128"/>
      <c r="E22" s="128"/>
      <c r="F22" s="128"/>
      <c r="G22" s="128"/>
    </row>
    <row r="23" spans="2:7" ht="32.25">
      <c r="B23" s="129" t="str">
        <f>CONCATENATE("Platz 1:"," ",J18,"")</f>
        <v>Platz 1: </v>
      </c>
      <c r="C23" s="129"/>
      <c r="D23" s="129"/>
      <c r="E23" s="129"/>
      <c r="F23" s="129"/>
      <c r="G23" s="129"/>
    </row>
    <row r="25" spans="2:7" ht="21">
      <c r="B25" s="51" t="s">
        <v>56</v>
      </c>
      <c r="C25" s="51">
        <f>N6</f>
      </c>
      <c r="D25" s="51"/>
      <c r="E25" s="51"/>
      <c r="F25" s="51"/>
      <c r="G25" s="51"/>
    </row>
    <row r="26" spans="2:7" ht="21">
      <c r="B26" s="51" t="s">
        <v>57</v>
      </c>
      <c r="C26" s="51">
        <f>N7</f>
      </c>
      <c r="D26" s="51"/>
      <c r="E26" s="51"/>
      <c r="F26" s="51"/>
      <c r="G26" s="51"/>
    </row>
    <row r="27" spans="2:7" ht="21">
      <c r="B27" s="51" t="s">
        <v>58</v>
      </c>
      <c r="C27" s="51">
        <f>N8</f>
      </c>
      <c r="D27" s="51"/>
      <c r="E27" s="51"/>
      <c r="F27" s="51"/>
      <c r="G27" s="51"/>
    </row>
  </sheetData>
  <sheetProtection password="BEE8" sheet="1" selectLockedCells="1"/>
  <mergeCells count="3">
    <mergeCell ref="B2:G2"/>
    <mergeCell ref="B22:G22"/>
    <mergeCell ref="B23:G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</dc:creator>
  <cp:keywords/>
  <dc:description/>
  <cp:lastModifiedBy>laac</cp:lastModifiedBy>
  <dcterms:created xsi:type="dcterms:W3CDTF">2010-07-08T09:03:09Z</dcterms:created>
  <dcterms:modified xsi:type="dcterms:W3CDTF">2010-07-26T12:13:23Z</dcterms:modified>
  <cp:category/>
  <cp:version/>
  <cp:contentType/>
  <cp:contentStatus/>
</cp:coreProperties>
</file>